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9732CDC6-77C7-4400-B759-74D151D4F1AB}" xr6:coauthVersionLast="47" xr6:coauthVersionMax="47" xr10:uidLastSave="{00000000-0000-0000-0000-000000000000}"/>
  <bookViews>
    <workbookView xWindow="-28920" yWindow="2595" windowWidth="29040" windowHeight="15720" xr2:uid="{4033F3EB-D217-4BEC-82A4-DCCF827D83A0}"/>
  </bookViews>
  <sheets>
    <sheet name="1.16.26" sheetId="1" r:id="rId1"/>
  </sheets>
  <definedNames>
    <definedName name="_xlnm._FilterDatabase" localSheetId="0" hidden="1">'1.16.26'!$A$8:$H$613</definedName>
    <definedName name="ExternalData_1" localSheetId="0">'1.16.26'!#REF!</definedName>
    <definedName name="_xlnm.Print_Area" localSheetId="0">'1.16.26'!$A$1:$H$613</definedName>
    <definedName name="_xlnm.Print_Titles" localSheetId="0">'1.16.26'!$8:$8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3" i="1" l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4" i="1"/>
  <c r="I222" i="1"/>
  <c r="I220" i="1"/>
  <c r="I219" i="1"/>
  <c r="I217" i="1"/>
  <c r="I215" i="1"/>
  <c r="I214" i="1"/>
  <c r="I213" i="1"/>
  <c r="I212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4" i="1"/>
  <c r="A222" i="1"/>
  <c r="A220" i="1"/>
  <c r="A219" i="1"/>
  <c r="A217" i="1"/>
  <c r="A215" i="1"/>
  <c r="A214" i="1"/>
  <c r="A213" i="1"/>
  <c r="A212" i="1"/>
  <c r="A210" i="1"/>
  <c r="A209" i="1"/>
  <c r="A208" i="1"/>
  <c r="A207" i="1"/>
  <c r="A206" i="1"/>
  <c r="A205" i="1"/>
  <c r="A204" i="1"/>
  <c r="A203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H7" i="1" l="1"/>
</calcChain>
</file>

<file path=xl/sharedStrings.xml><?xml version="1.0" encoding="utf-8"?>
<sst xmlns="http://schemas.openxmlformats.org/spreadsheetml/2006/main" count="635" uniqueCount="99">
  <si>
    <t>Sold To:</t>
  </si>
  <si>
    <t>Ship To:</t>
  </si>
  <si>
    <t xml:space="preserve"> </t>
  </si>
  <si>
    <t xml:space="preserve">Name     </t>
  </si>
  <si>
    <t>Name</t>
  </si>
  <si>
    <t>Ship Date:</t>
  </si>
  <si>
    <t xml:space="preserve">Address  </t>
  </si>
  <si>
    <t>Address</t>
  </si>
  <si>
    <t xml:space="preserve">Phone  </t>
  </si>
  <si>
    <t>Phone</t>
  </si>
  <si>
    <t xml:space="preserve">Contact  </t>
  </si>
  <si>
    <t>Contact</t>
  </si>
  <si>
    <t>Order Total</t>
  </si>
  <si>
    <t>ITEM</t>
  </si>
  <si>
    <t>SIZE</t>
  </si>
  <si>
    <t>COMMENTS</t>
  </si>
  <si>
    <t>PRICE</t>
  </si>
  <si>
    <t>$ TYPE</t>
  </si>
  <si>
    <t>Spring</t>
  </si>
  <si>
    <t>Late Spring</t>
  </si>
  <si>
    <t xml:space="preserve">    ORDER</t>
  </si>
  <si>
    <t>Containers</t>
  </si>
  <si>
    <t>NO.3</t>
  </si>
  <si>
    <t>NO.2</t>
  </si>
  <si>
    <t>NO.5</t>
  </si>
  <si>
    <t>NO.1</t>
  </si>
  <si>
    <t>NO.1A</t>
  </si>
  <si>
    <t>NO.7</t>
  </si>
  <si>
    <t>Container Evergreens</t>
  </si>
  <si>
    <t>NO.7P</t>
  </si>
  <si>
    <t>NO.10A</t>
  </si>
  <si>
    <t>NO.5A</t>
  </si>
  <si>
    <t>Container Trees</t>
  </si>
  <si>
    <t>NO.10</t>
  </si>
  <si>
    <t>NO.10C</t>
  </si>
  <si>
    <t>NO.10MS</t>
  </si>
  <si>
    <t>NO.15C</t>
  </si>
  <si>
    <t>NO.5C</t>
  </si>
  <si>
    <t>NO.7C</t>
  </si>
  <si>
    <t>NO.10T 4'</t>
  </si>
  <si>
    <t>NO.7T</t>
  </si>
  <si>
    <t>Edibles</t>
  </si>
  <si>
    <t>1.75" BB</t>
  </si>
  <si>
    <t>2.00" BB</t>
  </si>
  <si>
    <t>2.50" BB</t>
  </si>
  <si>
    <t>Container Roses</t>
  </si>
  <si>
    <t>NO.3K</t>
  </si>
  <si>
    <t>Container Vines</t>
  </si>
  <si>
    <t>Container Grasses</t>
  </si>
  <si>
    <t>Container Ferns</t>
  </si>
  <si>
    <t>Container Groundcovers</t>
  </si>
  <si>
    <t>Field Shrubs/Evergreens</t>
  </si>
  <si>
    <t>21" BB</t>
  </si>
  <si>
    <t>24" BB</t>
  </si>
  <si>
    <t>18" BB</t>
  </si>
  <si>
    <t>18" BBP</t>
  </si>
  <si>
    <t>21" BBP</t>
  </si>
  <si>
    <t>30" BBP</t>
  </si>
  <si>
    <t>30" BB</t>
  </si>
  <si>
    <t>48" PBB</t>
  </si>
  <si>
    <t>5' BB</t>
  </si>
  <si>
    <t>5' PBB</t>
  </si>
  <si>
    <t>6' BB</t>
  </si>
  <si>
    <t>36" BB</t>
  </si>
  <si>
    <t>48" BB</t>
  </si>
  <si>
    <t>7' BB</t>
  </si>
  <si>
    <t>7' PBB</t>
  </si>
  <si>
    <t>8' BB</t>
  </si>
  <si>
    <t>9' BB</t>
  </si>
  <si>
    <t>10' BB</t>
  </si>
  <si>
    <t>Field Trees</t>
  </si>
  <si>
    <t>1.75" PBB</t>
  </si>
  <si>
    <t>1.25" BB</t>
  </si>
  <si>
    <t>1.50" BB</t>
  </si>
  <si>
    <t>1.50" PBB</t>
  </si>
  <si>
    <t>3.00" BB</t>
  </si>
  <si>
    <t>3.50" BB</t>
  </si>
  <si>
    <t>30'' CBB</t>
  </si>
  <si>
    <t>36" CBB</t>
  </si>
  <si>
    <t>48" CBB</t>
  </si>
  <si>
    <t>5' CBB</t>
  </si>
  <si>
    <t>8' MBB</t>
  </si>
  <si>
    <t>10' MBB</t>
  </si>
  <si>
    <t>12' MBB</t>
  </si>
  <si>
    <t>14' CBB</t>
  </si>
  <si>
    <t>14' MBB</t>
  </si>
  <si>
    <t>5.00" BB</t>
  </si>
  <si>
    <t>9' CBB</t>
  </si>
  <si>
    <t>6' CBB</t>
  </si>
  <si>
    <t>7' CBB</t>
  </si>
  <si>
    <t>8' CBB</t>
  </si>
  <si>
    <t>4.00" BB</t>
  </si>
  <si>
    <t>5.50" BB</t>
  </si>
  <si>
    <t>4.50" BB</t>
  </si>
  <si>
    <t>18" TBB</t>
  </si>
  <si>
    <t>21" TBB</t>
  </si>
  <si>
    <t>1.50" TBB</t>
  </si>
  <si>
    <t>2.00" TBB</t>
  </si>
  <si>
    <t>Lake County Nursery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</si>
</sst>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u/>
      <sz val="8"/>
      <color indexed="8"/>
      <name val="Arial Narrow"/>
      <family val="2"/>
    </font>
    <font>
      <b/>
      <u/>
      <sz val="10"/>
      <color indexed="8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b/>
      <sz val="10"/>
      <name val="Arial"/>
      <family val="2"/>
    </font>
    <font>
      <b/>
      <sz val="11"/>
      <color rgb="FF004731"/>
      <name val="Aptos Narrow"/>
      <family val="2"/>
      <scheme val="minor"/>
    </font>
    <font>
      <b/>
      <sz val="9"/>
      <color rgb="FF00473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11"/>
      <color rgb="FF7FBA00"/>
      <name val="Arial Narrow"/>
      <family val="2"/>
    </font>
    <font>
      <b/>
      <sz val="10"/>
      <color rgb="FF7FBA00"/>
      <name val="Arial Narrow"/>
      <family val="2"/>
    </font>
    <font>
      <b/>
      <sz val="14"/>
      <color rgb="FF004731"/>
      <name val="Aptos Narrow"/>
      <family val="2"/>
      <scheme val="minor"/>
    </font>
    <font>
      <b/>
      <sz val="8"/>
      <color indexed="9"/>
      <name val="Aptos Narrow"/>
      <family val="2"/>
      <scheme val="minor"/>
    </font>
    <font>
      <b/>
      <sz val="10"/>
      <color rgb="FF004731"/>
      <name val="Aptos Narrow"/>
      <family val="2"/>
      <scheme val="minor"/>
    </font>
    <font>
      <sz val="8"/>
      <name val="Calibri"/>
      <family val="2"/>
    </font>
    <font>
      <sz val="10"/>
      <color theme="1"/>
      <name val="Aptos Narrow"/>
      <family val="2"/>
      <scheme val="minor"/>
    </font>
    <font>
      <b/>
      <i/>
      <u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731"/>
        <bgColor indexed="64"/>
      </patternFill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BA00"/>
      </left>
      <right style="thin">
        <color rgb="FF7FBA00"/>
      </right>
      <top style="thin">
        <color rgb="FF7FBA00"/>
      </top>
      <bottom/>
      <diagonal/>
    </border>
    <border>
      <left style="thin">
        <color rgb="FF7FBA00"/>
      </left>
      <right style="thin">
        <color rgb="FF7FBA00"/>
      </right>
      <top style="thin">
        <color rgb="FF7FBA00"/>
      </top>
      <bottom style="thin">
        <color rgb="FF7FBA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" fontId="4" fillId="0" borderId="0" xfId="0" applyNumberFormat="1" applyFont="1" applyAlignment="1" applyProtection="1">
      <alignment horizontal="center"/>
      <protection locked="0"/>
    </xf>
    <xf numFmtId="44" fontId="2" fillId="0" borderId="0" xfId="1" applyFont="1" applyProtection="1">
      <protection locked="0"/>
    </xf>
    <xf numFmtId="44" fontId="5" fillId="0" borderId="0" xfId="1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44" fontId="2" fillId="0" borderId="1" xfId="1" applyFont="1" applyBorder="1" applyProtection="1">
      <protection locked="0"/>
    </xf>
    <xf numFmtId="44" fontId="5" fillId="0" borderId="1" xfId="1" applyFont="1" applyBorder="1" applyAlignment="1" applyProtection="1">
      <alignment horizontal="center"/>
      <protection locked="0"/>
    </xf>
    <xf numFmtId="1" fontId="8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" fontId="6" fillId="0" borderId="1" xfId="0" applyNumberFormat="1" applyFont="1" applyBorder="1" applyAlignment="1" applyProtection="1">
      <alignment horizontal="right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44" fontId="2" fillId="0" borderId="2" xfId="1" applyFont="1" applyBorder="1" applyProtection="1">
      <protection locked="0"/>
    </xf>
    <xf numFmtId="44" fontId="5" fillId="0" borderId="2" xfId="1" applyFont="1" applyBorder="1" applyAlignment="1" applyProtection="1">
      <alignment horizontal="center"/>
      <protection locked="0"/>
    </xf>
    <xf numFmtId="1" fontId="6" fillId="0" borderId="0" xfId="0" applyNumberFormat="1" applyFont="1" applyProtection="1"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10" fillId="0" borderId="1" xfId="0" applyNumberFormat="1" applyFont="1" applyBorder="1" applyProtection="1">
      <protection locked="0"/>
    </xf>
    <xf numFmtId="1" fontId="11" fillId="0" borderId="0" xfId="0" applyNumberFormat="1" applyFont="1" applyAlignment="1" applyProtection="1">
      <alignment horizontal="right"/>
      <protection locked="0"/>
    </xf>
    <xf numFmtId="44" fontId="12" fillId="0" borderId="0" xfId="1" applyFont="1" applyAlignment="1">
      <alignment horizontal="right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top"/>
      <protection locked="0"/>
    </xf>
    <xf numFmtId="44" fontId="14" fillId="2" borderId="0" xfId="1" applyFont="1" applyFill="1" applyAlignment="1" applyProtection="1">
      <alignment horizontal="center" vertical="top"/>
      <protection locked="0"/>
    </xf>
    <xf numFmtId="1" fontId="14" fillId="2" borderId="0" xfId="0" applyNumberFormat="1" applyFont="1" applyFill="1" applyAlignment="1" applyProtection="1">
      <alignment horizontal="center" vertical="top" wrapText="1"/>
      <protection locked="0"/>
    </xf>
    <xf numFmtId="1" fontId="14" fillId="2" borderId="0" xfId="0" applyNumberFormat="1" applyFont="1" applyFill="1" applyAlignment="1" applyProtection="1">
      <alignment horizontal="center" vertical="top"/>
      <protection locked="0"/>
    </xf>
    <xf numFmtId="49" fontId="15" fillId="3" borderId="3" xfId="0" applyNumberFormat="1" applyFont="1" applyFill="1" applyBorder="1" applyAlignment="1">
      <alignment vertical="center" wrapText="1"/>
    </xf>
    <xf numFmtId="49" fontId="16" fillId="3" borderId="3" xfId="0" applyNumberFormat="1" applyFont="1" applyFill="1" applyBorder="1" applyAlignment="1">
      <alignment vertical="center"/>
    </xf>
    <xf numFmtId="49" fontId="16" fillId="3" borderId="3" xfId="0" applyNumberFormat="1" applyFont="1" applyFill="1" applyBorder="1" applyAlignment="1">
      <alignment horizontal="center" vertical="center"/>
    </xf>
    <xf numFmtId="44" fontId="16" fillId="3" borderId="3" xfId="1" applyFont="1" applyFill="1" applyBorder="1" applyAlignment="1" applyProtection="1">
      <alignment horizontal="right" vertical="center"/>
      <protection locked="0"/>
    </xf>
    <xf numFmtId="0" fontId="17" fillId="3" borderId="3" xfId="0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right" vertical="center"/>
    </xf>
    <xf numFmtId="0" fontId="18" fillId="0" borderId="4" xfId="0" applyFont="1" applyBorder="1"/>
    <xf numFmtId="44" fontId="18" fillId="0" borderId="4" xfId="1" applyFont="1" applyFill="1" applyBorder="1"/>
    <xf numFmtId="4" fontId="18" fillId="0" borderId="4" xfId="0" applyNumberFormat="1" applyFont="1" applyBorder="1" applyAlignment="1">
      <alignment horizontal="center"/>
    </xf>
    <xf numFmtId="165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1" fontId="18" fillId="0" borderId="4" xfId="0" applyNumberFormat="1" applyFont="1" applyBorder="1"/>
    <xf numFmtId="44" fontId="19" fillId="0" borderId="0" xfId="1" applyFont="1"/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akecountynursery.sharepoint.com/:f:/g/EuHKXmKW0-5JlmFmJff46WQBm-f7eEtcIceA1xvhVL-MOw?e=I4pF2Y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487679</xdr:colOff>
      <xdr:row>1</xdr:row>
      <xdr:rowOff>76200</xdr:rowOff>
    </xdr:from>
    <xdr:ext cx="2080261" cy="60959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588BD67-A9A4-4D54-87F3-742D9246C559}"/>
            </a:ext>
          </a:extLst>
        </xdr:cNvPr>
        <xdr:cNvSpPr/>
      </xdr:nvSpPr>
      <xdr:spPr>
        <a:xfrm>
          <a:off x="4631054" y="447675"/>
          <a:ext cx="2080261" cy="609599"/>
        </a:xfrm>
        <a:prstGeom prst="rect">
          <a:avLst/>
        </a:prstGeom>
        <a:noFill/>
        <a:ln>
          <a:solidFill>
            <a:srgbClr val="004731"/>
          </a:solidFill>
        </a:ln>
      </xdr:spPr>
      <xdr:txBody>
        <a:bodyPr wrap="square" lIns="91440" tIns="45720" rIns="91440" bIns="45720" anchor="ctr" anchorCtr="0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Availability List &amp; </a:t>
          </a:r>
        </a:p>
        <a:p>
          <a:pPr algn="ctr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Order Form</a:t>
          </a:r>
        </a:p>
        <a:p>
          <a:pPr algn="ctr" rtl="0">
            <a:lnSpc>
              <a:spcPts val="12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Updated 1-16-26</a:t>
          </a:r>
        </a:p>
      </xdr:txBody>
    </xdr:sp>
    <xdr:clientData/>
  </xdr:oneCellAnchor>
  <xdr:twoCellAnchor editAs="oneCell">
    <xdr:from>
      <xdr:col>0</xdr:col>
      <xdr:colOff>523875</xdr:colOff>
      <xdr:row>1</xdr:row>
      <xdr:rowOff>93345</xdr:rowOff>
    </xdr:from>
    <xdr:to>
      <xdr:col>0</xdr:col>
      <xdr:colOff>2134870</xdr:colOff>
      <xdr:row>1</xdr:row>
      <xdr:rowOff>702475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6271CD6-8451-417B-9B6D-FB299F92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4820"/>
          <a:ext cx="1610995" cy="599605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</xdr:row>
      <xdr:rowOff>30480</xdr:rowOff>
    </xdr:from>
    <xdr:to>
      <xdr:col>7</xdr:col>
      <xdr:colOff>708660</xdr:colOff>
      <xdr:row>3</xdr:row>
      <xdr:rowOff>152400</xdr:rowOff>
    </xdr:to>
    <xdr:sp macro="" textlink="">
      <xdr:nvSpPr>
        <xdr:cNvPr id="28" name="Text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6FE530-29CF-426B-ABE9-DF851896BB9A}"/>
            </a:ext>
          </a:extLst>
        </xdr:cNvPr>
        <xdr:cNvSpPr txBox="1"/>
      </xdr:nvSpPr>
      <xdr:spPr>
        <a:xfrm>
          <a:off x="6019800" y="730250"/>
          <a:ext cx="1231900" cy="260350"/>
        </a:xfrm>
        <a:prstGeom prst="rect">
          <a:avLst/>
        </a:prstGeom>
        <a:solidFill>
          <a:srgbClr val="7FBA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rgbClr val="004731"/>
              </a:solidFill>
            </a:rPr>
            <a:t>Crop Photos</a:t>
          </a:r>
        </a:p>
      </xdr:txBody>
    </xdr:sp>
    <xdr:clientData/>
  </xdr:twoCellAnchor>
  <xdr:twoCellAnchor editAs="oneCell">
    <xdr:from>
      <xdr:col>0</xdr:col>
      <xdr:colOff>2302597</xdr:colOff>
      <xdr:row>1</xdr:row>
      <xdr:rowOff>43815</xdr:rowOff>
    </xdr:from>
    <xdr:to>
      <xdr:col>2</xdr:col>
      <xdr:colOff>916853</xdr:colOff>
      <xdr:row>1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13FBCD-1CC2-972C-DA52-DABCDE08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2302597" y="415290"/>
          <a:ext cx="1833706" cy="68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104D-49CB-491E-B164-736934C7D3B0}">
  <sheetPr>
    <tabColor rgb="FF92D050"/>
  </sheetPr>
  <dimension ref="A1:O613"/>
  <sheetViews>
    <sheetView showGridLines="0" showZeros="0" tabSelected="1" zoomScaleNormal="100" workbookViewId="0">
      <pane ySplit="8" topLeftCell="A585" activePane="bottomLeft" state="frozen"/>
      <selection pane="bottomLeft" activeCell="L615" sqref="L615"/>
    </sheetView>
  </sheetViews>
  <sheetFormatPr defaultRowHeight="14.4" x14ac:dyDescent="0.3"/>
  <cols>
    <col min="1" max="1" width="39.44140625" customWidth="1"/>
    <col min="2" max="2" width="7.5546875" customWidth="1"/>
    <col min="3" max="3" width="13.44140625" customWidth="1"/>
    <col min="4" max="4" width="8.6640625" customWidth="1"/>
    <col min="5" max="5" width="6.6640625" customWidth="1"/>
    <col min="6" max="6" width="7.33203125" customWidth="1"/>
    <col min="7" max="7" width="9.44140625" customWidth="1"/>
    <col min="8" max="8" width="10.33203125" customWidth="1"/>
    <col min="9" max="9" width="8.88671875" style="38" hidden="1" customWidth="1"/>
  </cols>
  <sheetData>
    <row r="1" spans="1:15" ht="29.4" customHeight="1" thickBot="1" x14ac:dyDescent="0.35">
      <c r="A1" s="46" t="s">
        <v>98</v>
      </c>
      <c r="B1" s="47"/>
      <c r="C1" s="47"/>
      <c r="D1" s="47"/>
      <c r="E1" s="47"/>
      <c r="F1" s="47"/>
      <c r="G1" s="47"/>
      <c r="H1" s="48"/>
    </row>
    <row r="2" spans="1:15" ht="64.8" customHeight="1" thickBot="1" x14ac:dyDescent="0.35">
      <c r="A2" s="39"/>
      <c r="B2" s="40"/>
      <c r="C2" s="40"/>
      <c r="D2" s="40"/>
      <c r="E2" s="40"/>
      <c r="F2" s="40"/>
      <c r="G2" s="40"/>
      <c r="H2" s="41"/>
    </row>
    <row r="3" spans="1:15" ht="18.600000000000001" customHeight="1" thickBot="1" x14ac:dyDescent="0.35">
      <c r="A3" s="42" t="s">
        <v>0</v>
      </c>
      <c r="B3" s="43" t="s">
        <v>1</v>
      </c>
      <c r="C3" s="1"/>
      <c r="D3" s="2"/>
      <c r="E3" s="3"/>
      <c r="F3" s="4"/>
      <c r="G3" s="5"/>
      <c r="H3" s="6" t="s">
        <v>2</v>
      </c>
    </row>
    <row r="4" spans="1:15" ht="18.600000000000001" customHeight="1" thickBot="1" x14ac:dyDescent="0.35">
      <c r="A4" s="45" t="s">
        <v>3</v>
      </c>
      <c r="B4" s="44" t="s">
        <v>4</v>
      </c>
      <c r="C4" s="7" t="s">
        <v>2</v>
      </c>
      <c r="D4" s="8"/>
      <c r="E4" s="9"/>
      <c r="F4" s="10" t="s">
        <v>5</v>
      </c>
      <c r="G4" s="11"/>
      <c r="H4" s="12"/>
    </row>
    <row r="5" spans="1:15" ht="15" customHeight="1" thickBot="1" x14ac:dyDescent="0.35">
      <c r="A5" s="45" t="s">
        <v>6</v>
      </c>
      <c r="B5" s="44" t="s">
        <v>7</v>
      </c>
      <c r="C5" s="13" t="s">
        <v>2</v>
      </c>
      <c r="D5" s="14"/>
      <c r="E5" s="15"/>
      <c r="F5" s="16"/>
      <c r="G5" s="17"/>
      <c r="H5" s="6"/>
    </row>
    <row r="6" spans="1:15" ht="15" customHeight="1" thickBot="1" x14ac:dyDescent="0.35">
      <c r="A6" s="45" t="s">
        <v>8</v>
      </c>
      <c r="B6" s="44" t="s">
        <v>9</v>
      </c>
      <c r="C6" s="13" t="s">
        <v>2</v>
      </c>
      <c r="D6" s="14"/>
      <c r="E6" s="15"/>
      <c r="F6" s="16"/>
      <c r="G6" s="17"/>
      <c r="H6" s="6"/>
    </row>
    <row r="7" spans="1:15" ht="15" customHeight="1" thickBot="1" x14ac:dyDescent="0.35">
      <c r="A7" s="45" t="s">
        <v>10</v>
      </c>
      <c r="B7" s="44" t="s">
        <v>11</v>
      </c>
      <c r="C7" s="13" t="s">
        <v>2</v>
      </c>
      <c r="D7" s="14"/>
      <c r="E7" s="15"/>
      <c r="F7" s="18" t="s">
        <v>2</v>
      </c>
      <c r="G7" s="19" t="s">
        <v>12</v>
      </c>
      <c r="H7" s="20">
        <f>SUM(I11:I613)</f>
        <v>0</v>
      </c>
    </row>
    <row r="8" spans="1:15" ht="13.8" customHeight="1" x14ac:dyDescent="0.3">
      <c r="A8" s="21" t="s">
        <v>13</v>
      </c>
      <c r="B8" s="22" t="s">
        <v>14</v>
      </c>
      <c r="C8" s="22" t="s">
        <v>15</v>
      </c>
      <c r="D8" s="23" t="s">
        <v>16</v>
      </c>
      <c r="E8" s="22" t="s">
        <v>17</v>
      </c>
      <c r="F8" s="24" t="s">
        <v>18</v>
      </c>
      <c r="G8" s="24" t="s">
        <v>19</v>
      </c>
      <c r="H8" s="25" t="s">
        <v>20</v>
      </c>
    </row>
    <row r="9" spans="1:15" ht="7.8" customHeight="1" x14ac:dyDescent="0.3">
      <c r="A9" s="21"/>
      <c r="B9" s="22"/>
      <c r="C9" s="22"/>
      <c r="D9" s="23"/>
      <c r="E9" s="22"/>
      <c r="F9" s="24"/>
      <c r="G9" s="24"/>
      <c r="H9" s="25"/>
    </row>
    <row r="10" spans="1:15" ht="18" customHeight="1" x14ac:dyDescent="0.3">
      <c r="A10" s="26" t="s">
        <v>21</v>
      </c>
      <c r="B10" s="27"/>
      <c r="C10" s="28"/>
      <c r="D10" s="29"/>
      <c r="E10" s="28"/>
      <c r="F10" s="30" t="s">
        <v>18</v>
      </c>
      <c r="G10" s="30" t="s">
        <v>19</v>
      </c>
      <c r="H10" s="31"/>
      <c r="I10"/>
    </row>
    <row r="11" spans="1:15" ht="10.199999999999999" customHeight="1" x14ac:dyDescent="0.3">
      <c r="A11" s="32" t="str">
        <f>HYPERLINK("http://avail.sbinursery.com/LiveInventoryDetail.aspx?CustomerID=954&amp;intItemKey=79&amp;ProductID=AROABRINO03&amp;wWidth=700&amp;wHeight=510&amp;intHort=0&amp;imgProID=AROABRINO03&amp;strUserType=Live","Aronia arbutifolia 'Brilliantissima'")</f>
        <v>Aronia arbutifolia 'Brilliantissima'</v>
      </c>
      <c r="B11" s="32" t="s">
        <v>22</v>
      </c>
      <c r="C11" s="32"/>
      <c r="D11" s="33">
        <v>22</v>
      </c>
      <c r="E11" s="34"/>
      <c r="F11" s="35">
        <v>692</v>
      </c>
      <c r="G11" s="32">
        <v>0</v>
      </c>
      <c r="H11" s="37">
        <v>0</v>
      </c>
      <c r="I11" s="38">
        <f>PRODUCT(D11,H11)</f>
        <v>0</v>
      </c>
      <c r="M11" t="s">
        <v>2</v>
      </c>
    </row>
    <row r="12" spans="1:15" ht="10.199999999999999" customHeight="1" x14ac:dyDescent="0.3">
      <c r="A12" s="32" t="str">
        <f>HYPERLINK("http://avail.sbinursery.com/LiveInventoryDetail.aspx?CustomerID=954&amp;intItemKey=80&amp;ProductID=AROMELENO03&amp;wWidth=700&amp;wHeight=510&amp;intHort=0&amp;imgProID=AROMELENO03&amp;strUserType=Live","Aronia melanocarpa 'Elata'")</f>
        <v>Aronia melanocarpa 'Elata'</v>
      </c>
      <c r="B12" s="32" t="s">
        <v>22</v>
      </c>
      <c r="C12" s="32"/>
      <c r="D12" s="33">
        <v>22</v>
      </c>
      <c r="E12" s="34"/>
      <c r="F12" s="35">
        <v>407</v>
      </c>
      <c r="G12" s="32">
        <v>0</v>
      </c>
      <c r="H12" s="37">
        <v>0</v>
      </c>
      <c r="I12" s="38">
        <f t="shared" ref="I12:I66" si="0">PRODUCT(D12,H12)</f>
        <v>0</v>
      </c>
    </row>
    <row r="13" spans="1:15" ht="10.199999999999999" customHeight="1" x14ac:dyDescent="0.3">
      <c r="A13" s="32" t="str">
        <f>HYPERLINK("http://avail.sbinursery.com/LiveInventoryDetail.aspx?CustomerID=954&amp;intItemKey=96&amp;ProductID=BERTPYGNO03&amp;wWidth=700&amp;wHeight=510&amp;intHort=0&amp;imgProID=BERTPYGNO03&amp;strUserType=Live","Berberis thunbergii 'Pyruzam' Pygmy Ruby™")</f>
        <v>Berberis thunbergii 'Pyruzam' Pygmy Ruby™</v>
      </c>
      <c r="B13" s="32" t="s">
        <v>22</v>
      </c>
      <c r="C13" s="32"/>
      <c r="D13" s="33">
        <v>27</v>
      </c>
      <c r="E13" s="34"/>
      <c r="F13" s="35">
        <v>6</v>
      </c>
      <c r="G13" s="32">
        <v>0</v>
      </c>
      <c r="H13" s="37">
        <v>0</v>
      </c>
      <c r="I13" s="38">
        <f t="shared" si="0"/>
        <v>0</v>
      </c>
    </row>
    <row r="14" spans="1:15" ht="10.199999999999999" customHeight="1" x14ac:dyDescent="0.3">
      <c r="A14" s="32" t="str">
        <f>HYPERLINK("http://avail.sbinursery.com/LiveInventoryDetail.aspx?CustomerID=954&amp;intItemKey=113&amp;ProductID=BUDDBLUNO03&amp;wWidth=700&amp;wHeight=510&amp;intHort=0&amp;imgProID=BUDDBLUNO03&amp;strUserType=Live","Buddleia x Lo &amp; Behold® 'Blue Chip' PP19991")</f>
        <v>Buddleia x Lo &amp; Behold® 'Blue Chip' PP19991</v>
      </c>
      <c r="B14" s="32" t="s">
        <v>22</v>
      </c>
      <c r="C14" s="32"/>
      <c r="D14" s="33">
        <v>27</v>
      </c>
      <c r="E14" s="34"/>
      <c r="F14" s="35">
        <v>41</v>
      </c>
      <c r="G14" s="32">
        <v>0</v>
      </c>
      <c r="H14" s="37">
        <v>0</v>
      </c>
      <c r="I14" s="38">
        <f t="shared" si="0"/>
        <v>0</v>
      </c>
      <c r="O14" t="s">
        <v>2</v>
      </c>
    </row>
    <row r="15" spans="1:15" ht="10.199999999999999" customHeight="1" x14ac:dyDescent="0.3">
      <c r="A15" s="32" t="str">
        <f>HYPERLINK("http://avail.sbinursery.com/LiveInventoryDetail.aspx?CustomerID=954&amp;intItemKey=1723&amp;ProductID=BUDDMICNO03&amp;wWidth=700&amp;wHeight=510&amp;intHort=0&amp;imgProID=BUDDMICNO03&amp;strUserType=Live","Buddleia x Lo &amp; Behold® 'Pink Micro Chip' PP26547")</f>
        <v>Buddleia x Lo &amp; Behold® 'Pink Micro Chip' PP26547</v>
      </c>
      <c r="B15" s="32" t="s">
        <v>22</v>
      </c>
      <c r="C15" s="32"/>
      <c r="D15" s="33">
        <v>27</v>
      </c>
      <c r="E15" s="34"/>
      <c r="F15" s="35">
        <v>67</v>
      </c>
      <c r="G15" s="32">
        <v>0</v>
      </c>
      <c r="H15" s="37">
        <v>0</v>
      </c>
      <c r="I15" s="38">
        <f t="shared" si="0"/>
        <v>0</v>
      </c>
    </row>
    <row r="16" spans="1:15" ht="10.199999999999999" customHeight="1" x14ac:dyDescent="0.3">
      <c r="A16" s="32" t="str">
        <f>HYPERLINK("http://avail.sbinursery.com/LiveInventoryDetail.aspx?CustomerID=954&amp;intItemKey=1738&amp;ProductID=BUDMOLLNO03&amp;wWidth=700&amp;wHeight=510&amp;intHort=0&amp;imgProID=BUDMOLLNO03&amp;strUserType=Live","Buddleia x 'Miss Molly' ' PP23425")</f>
        <v>Buddleia x 'Miss Molly' ' PP23425</v>
      </c>
      <c r="B16" s="32" t="s">
        <v>22</v>
      </c>
      <c r="C16" s="32"/>
      <c r="D16" s="33">
        <v>27</v>
      </c>
      <c r="E16" s="34"/>
      <c r="F16" s="35">
        <v>2</v>
      </c>
      <c r="G16" s="32">
        <v>0</v>
      </c>
      <c r="H16" s="37">
        <v>0</v>
      </c>
      <c r="I16" s="38">
        <f t="shared" si="0"/>
        <v>0</v>
      </c>
    </row>
    <row r="17" spans="1:9" ht="10.199999999999999" customHeight="1" x14ac:dyDescent="0.3">
      <c r="A17" s="32" t="str">
        <f>HYPERLINK("http://avail.sbinursery.com/LiveInventoryDetail.aspx?CustomerID=954&amp;intItemKey=1740&amp;ProductID=BUDRUBYNO03&amp;wWidth=700&amp;wHeight=510&amp;intHort=0&amp;imgProID=BUDRUBYNO03&amp;strUserType=Live","Buddleia x 'Miss Ruby' PP19950")</f>
        <v>Buddleia x 'Miss Ruby' PP19950</v>
      </c>
      <c r="B17" s="32" t="s">
        <v>22</v>
      </c>
      <c r="C17" s="32"/>
      <c r="D17" s="33">
        <v>27</v>
      </c>
      <c r="E17" s="34"/>
      <c r="F17" s="35">
        <v>31</v>
      </c>
      <c r="G17" s="32">
        <v>0</v>
      </c>
      <c r="H17" s="37">
        <v>0</v>
      </c>
      <c r="I17" s="38">
        <f t="shared" si="0"/>
        <v>0</v>
      </c>
    </row>
    <row r="18" spans="1:9" ht="10.199999999999999" customHeight="1" x14ac:dyDescent="0.3">
      <c r="A18" s="32" t="str">
        <f>HYPERLINK("http://avail.sbinursery.com/LiveInventoryDetail.aspx?CustomerID=954&amp;intItemKey=1804&amp;ProductID=BUDXAMENO03&amp;wWidth=700&amp;wHeight=510&amp;intHort=0&amp;imgProID=BUDXAMENO03&amp;strUserType=Live","Buddleia x 'SMNBDL' PP30236 Pugster® Amethyst")</f>
        <v>Buddleia x 'SMNBDL' PP30236 Pugster® Amethyst</v>
      </c>
      <c r="B18" s="32" t="s">
        <v>22</v>
      </c>
      <c r="C18" s="32"/>
      <c r="D18" s="33">
        <v>27</v>
      </c>
      <c r="E18" s="34"/>
      <c r="F18" s="35">
        <v>20</v>
      </c>
      <c r="G18" s="32">
        <v>0</v>
      </c>
      <c r="H18" s="37">
        <v>0</v>
      </c>
      <c r="I18" s="38">
        <f t="shared" si="0"/>
        <v>0</v>
      </c>
    </row>
    <row r="19" spans="1:9" ht="10.199999999999999" customHeight="1" x14ac:dyDescent="0.3">
      <c r="A19" s="32" t="str">
        <f>HYPERLINK("http://avail.sbinursery.com/LiveInventoryDetail.aspx?CustomerID=954&amp;intItemKey=1806&amp;ProductID=BUDXBLUNO03&amp;wWidth=700&amp;wHeight=510&amp;intHort=0&amp;imgProID=BUDXBLUNO03&amp;strUserType=Live","Buddleia x 'SMNBDBT' PP28794 Pugster® Blue")</f>
        <v>Buddleia x 'SMNBDBT' PP28794 Pugster® Blue</v>
      </c>
      <c r="B19" s="32" t="s">
        <v>22</v>
      </c>
      <c r="C19" s="32"/>
      <c r="D19" s="33">
        <v>27</v>
      </c>
      <c r="E19" s="34"/>
      <c r="F19" s="35">
        <v>30</v>
      </c>
      <c r="G19" s="32">
        <v>0</v>
      </c>
      <c r="H19" s="37">
        <v>0</v>
      </c>
      <c r="I19" s="38">
        <f t="shared" si="0"/>
        <v>0</v>
      </c>
    </row>
    <row r="20" spans="1:9" ht="10.199999999999999" customHeight="1" x14ac:dyDescent="0.3">
      <c r="A20" s="32" t="str">
        <f>HYPERLINK("http://avail.sbinursery.com/LiveInventoryDetail.aspx?CustomerID=954&amp;intItemKey=1862&amp;ProductID=BUDXPERNO03&amp;wWidth=700&amp;wHeight=510&amp;intHort=0&amp;imgProID=BUDXPERNO03&amp;strUserType=Live","Buddleia x 'SMNBDO' PP28796 Pugster® Periwinkle")</f>
        <v>Buddleia x 'SMNBDO' PP28796 Pugster® Periwinkle</v>
      </c>
      <c r="B20" s="32" t="s">
        <v>22</v>
      </c>
      <c r="C20" s="32"/>
      <c r="D20" s="33">
        <v>27</v>
      </c>
      <c r="E20" s="34"/>
      <c r="F20" s="35">
        <v>48</v>
      </c>
      <c r="G20" s="32">
        <v>0</v>
      </c>
      <c r="H20" s="37">
        <v>0</v>
      </c>
      <c r="I20" s="38">
        <f t="shared" si="0"/>
        <v>0</v>
      </c>
    </row>
    <row r="21" spans="1:9" ht="10.199999999999999" customHeight="1" x14ac:dyDescent="0.3">
      <c r="A21" s="32" t="str">
        <f>HYPERLINK("http://avail.sbinursery.com/LiveInventoryDetail.aspx?CustomerID=954&amp;intItemKey=132&amp;ProductID=CARXMISNO03&amp;wWidth=700&amp;wHeight=510&amp;intHort=0&amp;imgProID=CARXMISNO03&amp;strUserType=Live","Caryopteris x 'Blue Mist'")</f>
        <v>Caryopteris x 'Blue Mist'</v>
      </c>
      <c r="B21" s="32" t="s">
        <v>22</v>
      </c>
      <c r="C21" s="32"/>
      <c r="D21" s="33">
        <v>17.5</v>
      </c>
      <c r="E21" s="34"/>
      <c r="F21" s="35">
        <v>218</v>
      </c>
      <c r="G21" s="32">
        <v>0</v>
      </c>
      <c r="H21" s="37">
        <v>0</v>
      </c>
      <c r="I21" s="38">
        <f t="shared" si="0"/>
        <v>0</v>
      </c>
    </row>
    <row r="22" spans="1:9" ht="10.199999999999999" customHeight="1" x14ac:dyDescent="0.3">
      <c r="A22" s="32" t="str">
        <f>HYPERLINK("http://avail.sbinursery.com/LiveInventoryDetail.aspx?CustomerID=954&amp;intItemKey=1885&amp;ProductID=CEPOFIBNO03&amp;wWidth=700&amp;wHeight=510&amp;intHort=0&amp;imgProID=CEPOFIBNO03&amp;strUserType=Live","Cephalanthus o. 'Bailoptics' PP29475 First Editions® Fiber Optics®")</f>
        <v>Cephalanthus o. 'Bailoptics' PP29475 First Editions® Fiber Optics®</v>
      </c>
      <c r="B22" s="32" t="s">
        <v>22</v>
      </c>
      <c r="C22" s="32"/>
      <c r="D22" s="33">
        <v>31</v>
      </c>
      <c r="E22" s="34"/>
      <c r="F22" s="35">
        <v>86</v>
      </c>
      <c r="G22" s="32">
        <v>0</v>
      </c>
      <c r="H22" s="37">
        <v>0</v>
      </c>
      <c r="I22" s="38">
        <f t="shared" si="0"/>
        <v>0</v>
      </c>
    </row>
    <row r="23" spans="1:9" ht="10.199999999999999" customHeight="1" x14ac:dyDescent="0.3">
      <c r="A23" s="32" t="str">
        <f>HYPERLINK("http://avail.sbinursery.com/LiveInventoryDetail.aspx?CustomerID=954&amp;intItemKey=159&amp;ProductID=CLEAHUMNO03&amp;wWidth=700&amp;wHeight=510&amp;intHort=0&amp;imgProID=CLEAHUMNO03&amp;strUserType=Live","Clethra alnifolia 'Hummingbird'")</f>
        <v>Clethra alnifolia 'Hummingbird'</v>
      </c>
      <c r="B23" s="32" t="s">
        <v>22</v>
      </c>
      <c r="C23" s="32"/>
      <c r="D23" s="33">
        <v>19</v>
      </c>
      <c r="E23" s="34"/>
      <c r="F23" s="35">
        <v>835</v>
      </c>
      <c r="G23" s="32">
        <v>1288</v>
      </c>
      <c r="H23" s="37">
        <v>0</v>
      </c>
      <c r="I23" s="38">
        <f t="shared" si="0"/>
        <v>0</v>
      </c>
    </row>
    <row r="24" spans="1:9" ht="10.199999999999999" customHeight="1" x14ac:dyDescent="0.3">
      <c r="A24" s="32" t="str">
        <f>HYPERLINK("http://avail.sbinursery.com/LiveInventoryDetail.aspx?CustomerID=954&amp;intItemKey=159&amp;ProductID=CLEAHUMNO05&amp;wWidth=700&amp;wHeight=510&amp;intHort=0&amp;imgProID=CLEAHUMNO05&amp;strUserType=Live","Clethra alnifolia 'Hummingbird'")</f>
        <v>Clethra alnifolia 'Hummingbird'</v>
      </c>
      <c r="B24" s="32" t="s">
        <v>24</v>
      </c>
      <c r="C24" s="32"/>
      <c r="D24" s="33">
        <v>26</v>
      </c>
      <c r="E24" s="34"/>
      <c r="F24" s="35">
        <v>30</v>
      </c>
      <c r="G24" s="32">
        <v>0</v>
      </c>
      <c r="H24" s="37">
        <v>0</v>
      </c>
      <c r="I24" s="38">
        <f t="shared" si="0"/>
        <v>0</v>
      </c>
    </row>
    <row r="25" spans="1:9" ht="10.199999999999999" customHeight="1" x14ac:dyDescent="0.3">
      <c r="A25" s="32" t="str">
        <f>HYPERLINK("http://avail.sbinursery.com/LiveInventoryDetail.aspx?CustomerID=954&amp;intItemKey=158&amp;ProductID=CLEALNINO03&amp;wWidth=700&amp;wHeight=510&amp;intHort=0&amp;imgProID=CLEALNINO03&amp;strUserType=Live","Clethra alnifolia")</f>
        <v>Clethra alnifolia</v>
      </c>
      <c r="B25" s="32" t="s">
        <v>22</v>
      </c>
      <c r="C25" s="32"/>
      <c r="D25" s="33">
        <v>19</v>
      </c>
      <c r="E25" s="34"/>
      <c r="F25" s="35">
        <v>345</v>
      </c>
      <c r="G25" s="32">
        <v>0</v>
      </c>
      <c r="H25" s="37">
        <v>0</v>
      </c>
      <c r="I25" s="38">
        <f t="shared" si="0"/>
        <v>0</v>
      </c>
    </row>
    <row r="26" spans="1:9" ht="10.199999999999999" customHeight="1" x14ac:dyDescent="0.3">
      <c r="A26" s="32" t="str">
        <f>HYPERLINK("http://avail.sbinursery.com/LiveInventoryDetail.aspx?CustomerID=954&amp;intItemKey=161&amp;ProductID=CLEASPINO03&amp;wWidth=700&amp;wHeight=510&amp;intHort=0&amp;imgProID=CLEASPINO03&amp;strUserType=Live","Clethra alnifolia 'Ruby Spice'")</f>
        <v>Clethra alnifolia 'Ruby Spice'</v>
      </c>
      <c r="B26" s="32" t="s">
        <v>22</v>
      </c>
      <c r="C26" s="32"/>
      <c r="D26" s="33">
        <v>19</v>
      </c>
      <c r="E26" s="34"/>
      <c r="F26" s="35">
        <v>768</v>
      </c>
      <c r="G26" s="32">
        <v>698</v>
      </c>
      <c r="H26" s="37">
        <v>0</v>
      </c>
      <c r="I26" s="38">
        <f t="shared" si="0"/>
        <v>0</v>
      </c>
    </row>
    <row r="27" spans="1:9" ht="10.199999999999999" customHeight="1" x14ac:dyDescent="0.3">
      <c r="A27" s="32" t="str">
        <f>HYPERLINK("http://avail.sbinursery.com/LiveInventoryDetail.aspx?CustomerID=954&amp;intItemKey=161&amp;ProductID=CLEASPINO05&amp;wWidth=700&amp;wHeight=510&amp;intHort=0&amp;imgProID=CLEASPINO05&amp;strUserType=Live","Clethra alnifolia 'Ruby Spice'")</f>
        <v>Clethra alnifolia 'Ruby Spice'</v>
      </c>
      <c r="B27" s="32" t="s">
        <v>24</v>
      </c>
      <c r="C27" s="32"/>
      <c r="D27" s="33">
        <v>26</v>
      </c>
      <c r="E27" s="34"/>
      <c r="F27" s="35">
        <v>16</v>
      </c>
      <c r="G27" s="32">
        <v>269</v>
      </c>
      <c r="H27" s="37">
        <v>0</v>
      </c>
      <c r="I27" s="38">
        <f t="shared" si="0"/>
        <v>0</v>
      </c>
    </row>
    <row r="28" spans="1:9" ht="10.199999999999999" customHeight="1" x14ac:dyDescent="0.3">
      <c r="A28" s="32" t="str">
        <f>HYPERLINK("http://avail.sbinursery.com/LiveInventoryDetail.aspx?CustomerID=954&amp;intItemKey=162&amp;ProductID=COMPERENO01&amp;wWidth=700&amp;wHeight=510&amp;intHort=0&amp;imgProID=COMPERENO01&amp;strUserType=Live","Comptonia peregrina")</f>
        <v>Comptonia peregrina</v>
      </c>
      <c r="B28" s="32" t="s">
        <v>25</v>
      </c>
      <c r="C28" s="32"/>
      <c r="D28" s="33">
        <v>13</v>
      </c>
      <c r="E28" s="34"/>
      <c r="F28" s="35">
        <v>203</v>
      </c>
      <c r="G28" s="32">
        <v>0</v>
      </c>
      <c r="H28" s="37">
        <v>0</v>
      </c>
      <c r="I28" s="38">
        <f t="shared" si="0"/>
        <v>0</v>
      </c>
    </row>
    <row r="29" spans="1:9" ht="10.199999999999999" customHeight="1" x14ac:dyDescent="0.3">
      <c r="A29" s="32" t="str">
        <f>HYPERLINK("http://avail.sbinursery.com/LiveInventoryDetail.aspx?CustomerID=954&amp;intItemKey=162&amp;ProductID=COMPERENO01A&amp;wWidth=700&amp;wHeight=510&amp;intHort=0&amp;imgProID=0&amp;strUserType=Live","Comptonia peregrina")</f>
        <v>Comptonia peregrina</v>
      </c>
      <c r="B29" s="32" t="s">
        <v>26</v>
      </c>
      <c r="C29" s="32"/>
      <c r="D29" s="33">
        <v>13</v>
      </c>
      <c r="E29" s="34"/>
      <c r="F29" s="35">
        <v>10</v>
      </c>
      <c r="G29" s="32">
        <v>0</v>
      </c>
      <c r="H29" s="37">
        <v>0</v>
      </c>
      <c r="I29" s="38">
        <f t="shared" si="0"/>
        <v>0</v>
      </c>
    </row>
    <row r="30" spans="1:9" ht="10.199999999999999" customHeight="1" x14ac:dyDescent="0.3">
      <c r="A30" s="32" t="str">
        <f>HYPERLINK("http://avail.sbinursery.com/LiveInventoryDetail.aspx?CustomerID=954&amp;intItemKey=169&amp;ProductID=CORAASMNO03&amp;wWidth=700&amp;wHeight=510&amp;intHort=0&amp;imgProID=CORAASMNO03&amp;strUserType=Live","Cornus alba 'Crmizam' Crème de Mint™")</f>
        <v>Cornus alba 'Crmizam' Crème de Mint™</v>
      </c>
      <c r="B30" s="32" t="s">
        <v>22</v>
      </c>
      <c r="C30" s="32"/>
      <c r="D30" s="33">
        <v>18.5</v>
      </c>
      <c r="E30" s="34"/>
      <c r="F30" s="35">
        <v>132</v>
      </c>
      <c r="G30" s="32">
        <v>199</v>
      </c>
      <c r="H30" s="37">
        <v>0</v>
      </c>
      <c r="I30" s="38">
        <f t="shared" si="0"/>
        <v>0</v>
      </c>
    </row>
    <row r="31" spans="1:9" ht="10.199999999999999" customHeight="1" x14ac:dyDescent="0.3">
      <c r="A31" s="32" t="str">
        <f>HYPERLINK("http://avail.sbinursery.com/LiveInventoryDetail.aspx?CustomerID=954&amp;intItemKey=168&amp;ProductID=CORACBLNO05&amp;wWidth=700&amp;wHeight=510&amp;intHort=0&amp;imgProID=CORACBLNO05&amp;strUserType=Live","Cornus alba 'Chblzam' Chief Bloodgood™")</f>
        <v>Cornus alba 'Chblzam' Chief Bloodgood™</v>
      </c>
      <c r="B31" s="32" t="s">
        <v>24</v>
      </c>
      <c r="C31" s="32"/>
      <c r="D31" s="33">
        <v>26</v>
      </c>
      <c r="E31" s="34"/>
      <c r="F31" s="35">
        <v>20</v>
      </c>
      <c r="G31" s="32">
        <v>169</v>
      </c>
      <c r="H31" s="37">
        <v>0</v>
      </c>
      <c r="I31" s="38">
        <f t="shared" si="0"/>
        <v>0</v>
      </c>
    </row>
    <row r="32" spans="1:9" ht="10.199999999999999" customHeight="1" x14ac:dyDescent="0.3">
      <c r="A32" s="32" t="str">
        <f>HYPERLINK("http://avail.sbinursery.com/LiveInventoryDetail.aspx?CustomerID=954&amp;intItemKey=172&amp;ProductID=CORADAQNO05&amp;wWidth=700&amp;wHeight=510&amp;intHort=0&amp;imgProID=CORADAQNO05&amp;strUserType=Live","Cornus alba 'Stdazam' Strawberry Daiquiri®")</f>
        <v>Cornus alba 'Stdazam' Strawberry Daiquiri®</v>
      </c>
      <c r="B32" s="32" t="s">
        <v>24</v>
      </c>
      <c r="C32" s="32"/>
      <c r="D32" s="33">
        <v>26</v>
      </c>
      <c r="E32" s="34"/>
      <c r="F32" s="35">
        <v>119</v>
      </c>
      <c r="G32" s="32">
        <v>207</v>
      </c>
      <c r="H32" s="37">
        <v>0</v>
      </c>
      <c r="I32" s="38">
        <f t="shared" si="0"/>
        <v>0</v>
      </c>
    </row>
    <row r="33" spans="1:9" ht="10.199999999999999" customHeight="1" x14ac:dyDescent="0.3">
      <c r="A33" s="32" t="str">
        <f>HYPERLINK("http://avail.sbinursery.com/LiveInventoryDetail.aspx?CustomerID=954&amp;intItemKey=165&amp;ProductID=CORAHALNO03&amp;wWidth=700&amp;wHeight=510&amp;intHort=0&amp;imgProID=CORAHALNO03&amp;strUserType=Live","Cornus alba 'Bailhalo' Ivory Halo®")</f>
        <v>Cornus alba 'Bailhalo' Ivory Halo®</v>
      </c>
      <c r="B33" s="32" t="s">
        <v>22</v>
      </c>
      <c r="C33" s="32"/>
      <c r="D33" s="33">
        <v>18.5</v>
      </c>
      <c r="E33" s="34"/>
      <c r="F33" s="35">
        <v>86</v>
      </c>
      <c r="G33" s="32">
        <v>727</v>
      </c>
      <c r="H33" s="37">
        <v>0</v>
      </c>
      <c r="I33" s="38">
        <f t="shared" si="0"/>
        <v>0</v>
      </c>
    </row>
    <row r="34" spans="1:9" ht="10.199999999999999" customHeight="1" x14ac:dyDescent="0.3">
      <c r="A34" s="32" t="str">
        <f>HYPERLINK("http://avail.sbinursery.com/LiveInventoryDetail.aspx?CustomerID=954&amp;intItemKey=165&amp;ProductID=CORAHALNO05&amp;wWidth=700&amp;wHeight=510&amp;intHort=0&amp;imgProID=CORAHALNO05&amp;strUserType=Live","Cornus alba 'Bailhalo' Ivory Halo®")</f>
        <v>Cornus alba 'Bailhalo' Ivory Halo®</v>
      </c>
      <c r="B34" s="32" t="s">
        <v>24</v>
      </c>
      <c r="C34" s="32"/>
      <c r="D34" s="33">
        <v>26</v>
      </c>
      <c r="E34" s="34"/>
      <c r="F34" s="35">
        <v>274</v>
      </c>
      <c r="G34" s="32">
        <v>572</v>
      </c>
      <c r="H34" s="37">
        <v>0</v>
      </c>
      <c r="I34" s="38">
        <f t="shared" si="0"/>
        <v>0</v>
      </c>
    </row>
    <row r="35" spans="1:9" ht="10.199999999999999" customHeight="1" x14ac:dyDescent="0.3">
      <c r="A35" s="32" t="str">
        <f>HYPERLINK("http://avail.sbinursery.com/LiveInventoryDetail.aspx?CustomerID=954&amp;intItemKey=1730&amp;ProductID=CORSARCNO05&amp;wWidth=700&amp;wHeight=510&amp;intHort=0&amp;imgProID=CORSARCNO05&amp;strUserType=Live","Cornus s. 'Farrow' PP18523 Arctic Fire®")</f>
        <v>Cornus s. 'Farrow' PP18523 Arctic Fire®</v>
      </c>
      <c r="B35" s="32" t="s">
        <v>24</v>
      </c>
      <c r="C35" s="32"/>
      <c r="D35" s="33">
        <v>38</v>
      </c>
      <c r="E35" s="34"/>
      <c r="F35" s="35">
        <v>9</v>
      </c>
      <c r="G35" s="32">
        <v>0</v>
      </c>
      <c r="H35" s="37">
        <v>0</v>
      </c>
      <c r="I35" s="38">
        <f t="shared" si="0"/>
        <v>0</v>
      </c>
    </row>
    <row r="36" spans="1:9" ht="10.199999999999999" customHeight="1" x14ac:dyDescent="0.3">
      <c r="A36" s="32" t="str">
        <f>HYPERLINK("http://avail.sbinursery.com/LiveInventoryDetail.aspx?CustomerID=954&amp;intItemKey=904&amp;ProductID=CORSBAINO03&amp;wWidth=700&amp;wHeight=510&amp;intHort=0&amp;imgProID=CORSBAINO03&amp;strUserType=Live","Cornus sericea 'Baileyi'")</f>
        <v>Cornus sericea 'Baileyi'</v>
      </c>
      <c r="B36" s="32" t="s">
        <v>22</v>
      </c>
      <c r="C36" s="32"/>
      <c r="D36" s="33">
        <v>26</v>
      </c>
      <c r="E36" s="34"/>
      <c r="F36" s="35">
        <v>9</v>
      </c>
      <c r="G36" s="32">
        <v>0</v>
      </c>
      <c r="H36" s="37">
        <v>0</v>
      </c>
      <c r="I36" s="38">
        <f t="shared" si="0"/>
        <v>0</v>
      </c>
    </row>
    <row r="37" spans="1:9" ht="10.199999999999999" customHeight="1" x14ac:dyDescent="0.3">
      <c r="A37" s="32" t="str">
        <f>HYPERLINK("http://avail.sbinursery.com/LiveInventoryDetail.aspx?CustomerID=954&amp;intItemKey=170&amp;ProductID=CORSGNONO05&amp;wWidth=700&amp;wHeight=510&amp;intHort=0&amp;imgProID=CORSGNONO05&amp;strUserType=Live","Cornus alba 'Regnzam' Red GNOME™")</f>
        <v>Cornus alba 'Regnzam' Red GNOME™</v>
      </c>
      <c r="B37" s="32" t="s">
        <v>24</v>
      </c>
      <c r="C37" s="32"/>
      <c r="D37" s="33">
        <v>27</v>
      </c>
      <c r="E37" s="34"/>
      <c r="F37" s="35">
        <v>4</v>
      </c>
      <c r="G37" s="32">
        <v>191</v>
      </c>
      <c r="H37" s="37">
        <v>0</v>
      </c>
      <c r="I37" s="38">
        <f t="shared" si="0"/>
        <v>0</v>
      </c>
    </row>
    <row r="38" spans="1:9" ht="10.199999999999999" customHeight="1" x14ac:dyDescent="0.3">
      <c r="A38" s="32" t="str">
        <f>HYPERLINK("http://avail.sbinursery.com/LiveInventoryDetail.aspx?CustomerID=954&amp;intItemKey=197&amp;ProductID=COTVPURNO05&amp;wWidth=700&amp;wHeight=510&amp;intHort=0&amp;imgProID=COTVPURNO05&amp;strUserType=Live","Cotinus coggygria 'Royal Purple'")</f>
        <v>Cotinus coggygria 'Royal Purple'</v>
      </c>
      <c r="B38" s="32" t="s">
        <v>24</v>
      </c>
      <c r="C38" s="32"/>
      <c r="D38" s="33">
        <v>35</v>
      </c>
      <c r="E38" s="34"/>
      <c r="F38" s="35">
        <v>209</v>
      </c>
      <c r="G38" s="32">
        <v>0</v>
      </c>
      <c r="H38" s="37">
        <v>0</v>
      </c>
      <c r="I38" s="38">
        <f t="shared" si="0"/>
        <v>0</v>
      </c>
    </row>
    <row r="39" spans="1:9" ht="10.199999999999999" customHeight="1" x14ac:dyDescent="0.3">
      <c r="A39" s="32" t="str">
        <f>HYPERLINK("http://avail.sbinursery.com/LiveInventoryDetail.aspx?CustomerID=954&amp;intItemKey=216&amp;ProductID=DIELONINO05&amp;wWidth=700&amp;wHeight=510&amp;intHort=0&amp;imgProID=DIELONINO05&amp;strUserType=Live","Diervilla lonicera")</f>
        <v>Diervilla lonicera</v>
      </c>
      <c r="B39" s="32" t="s">
        <v>24</v>
      </c>
      <c r="C39" s="32"/>
      <c r="D39" s="33">
        <v>28</v>
      </c>
      <c r="E39" s="34"/>
      <c r="F39" s="35">
        <v>213</v>
      </c>
      <c r="G39" s="32">
        <v>61</v>
      </c>
      <c r="H39" s="37">
        <v>0</v>
      </c>
      <c r="I39" s="38">
        <f t="shared" si="0"/>
        <v>0</v>
      </c>
    </row>
    <row r="40" spans="1:9" ht="10.199999999999999" customHeight="1" x14ac:dyDescent="0.3">
      <c r="A40" s="32" t="str">
        <f>HYPERLINK("http://avail.sbinursery.com/LiveInventoryDetail.aspx?CustomerID=954&amp;intItemKey=230&amp;ProductID=EUOACOMNO03&amp;wWidth=700&amp;wHeight=510&amp;intHort=0&amp;imgProID=EUOACOMNO03&amp;strUserType=Live","Euonymus alatas 'Compactus'")</f>
        <v>Euonymus alatas 'Compactus'</v>
      </c>
      <c r="B40" s="32" t="s">
        <v>22</v>
      </c>
      <c r="C40" s="32"/>
      <c r="D40" s="33">
        <v>19.5</v>
      </c>
      <c r="E40" s="34"/>
      <c r="F40" s="35">
        <v>465</v>
      </c>
      <c r="G40" s="32">
        <v>760</v>
      </c>
      <c r="H40" s="37">
        <v>0</v>
      </c>
      <c r="I40" s="38">
        <f t="shared" si="0"/>
        <v>0</v>
      </c>
    </row>
    <row r="41" spans="1:9" ht="10.199999999999999" customHeight="1" x14ac:dyDescent="0.3">
      <c r="A41" s="32" t="str">
        <f>HYPERLINK("http://avail.sbinursery.com/LiveInventoryDetail.aspx?CustomerID=954&amp;intItemKey=230&amp;ProductID=EUOACOMNO05&amp;wWidth=700&amp;wHeight=510&amp;intHort=0&amp;imgProID=EUOACOMNO05&amp;strUserType=Live","Euonymus alatas 'Compactus'")</f>
        <v>Euonymus alatas 'Compactus'</v>
      </c>
      <c r="B41" s="32" t="s">
        <v>24</v>
      </c>
      <c r="C41" s="32"/>
      <c r="D41" s="33">
        <v>26.5</v>
      </c>
      <c r="E41" s="34"/>
      <c r="F41" s="35">
        <v>606</v>
      </c>
      <c r="G41" s="32">
        <v>2006</v>
      </c>
      <c r="H41" s="37">
        <v>0</v>
      </c>
      <c r="I41" s="38">
        <f t="shared" si="0"/>
        <v>0</v>
      </c>
    </row>
    <row r="42" spans="1:9" ht="10.199999999999999" customHeight="1" x14ac:dyDescent="0.3">
      <c r="A42" s="32" t="str">
        <f>HYPERLINK("http://avail.sbinursery.com/LiveInventoryDetail.aspx?CustomerID=954&amp;intItemKey=228&amp;ProductID=EUOASQUNO03&amp;wWidth=700&amp;wHeight=510&amp;intHort=0&amp;imgProID=EUOASQUNO03&amp;strUserType=Live","Euonymus alatas 'Pipzam' Pipsqueak®")</f>
        <v>Euonymus alatas 'Pipzam' Pipsqueak®</v>
      </c>
      <c r="B42" s="32" t="s">
        <v>22</v>
      </c>
      <c r="C42" s="32"/>
      <c r="D42" s="33">
        <v>19.5</v>
      </c>
      <c r="E42" s="34"/>
      <c r="F42" s="35">
        <v>0</v>
      </c>
      <c r="G42" s="32">
        <v>201</v>
      </c>
      <c r="H42" s="37">
        <v>0</v>
      </c>
      <c r="I42" s="38">
        <f t="shared" si="0"/>
        <v>0</v>
      </c>
    </row>
    <row r="43" spans="1:9" ht="10.199999999999999" customHeight="1" x14ac:dyDescent="0.3">
      <c r="A43" s="32" t="str">
        <f>HYPERLINK("http://avail.sbinursery.com/LiveInventoryDetail.aspx?CustomerID=954&amp;intItemKey=228&amp;ProductID=EUOASQUNO05&amp;wWidth=700&amp;wHeight=510&amp;intHort=0&amp;imgProID=EUOASQUNO05&amp;strUserType=Live","Euonymus alatas 'Pipzam' Pipsqueak®")</f>
        <v>Euonymus alatas 'Pipzam' Pipsqueak®</v>
      </c>
      <c r="B43" s="32" t="s">
        <v>24</v>
      </c>
      <c r="C43" s="32"/>
      <c r="D43" s="33">
        <v>27.5</v>
      </c>
      <c r="E43" s="34"/>
      <c r="F43" s="35">
        <v>0</v>
      </c>
      <c r="G43" s="32">
        <v>250</v>
      </c>
      <c r="H43" s="37">
        <v>0</v>
      </c>
      <c r="I43" s="38">
        <f t="shared" si="0"/>
        <v>0</v>
      </c>
    </row>
    <row r="44" spans="1:9" ht="10.199999999999999" customHeight="1" x14ac:dyDescent="0.3">
      <c r="A44" s="32" t="str">
        <f>HYPERLINK("http://avail.sbinursery.com/LiveInventoryDetail.aspx?CustomerID=954&amp;intItemKey=254&amp;ProductID=FORXGOLNO05&amp;wWidth=700&amp;wHeight=510&amp;intHort=0&amp;imgProID=FORXGOLNO05&amp;strUserType=Live","Forsythia x 'Lynwood'")</f>
        <v>Forsythia x 'Lynwood'</v>
      </c>
      <c r="B44" s="32" t="s">
        <v>24</v>
      </c>
      <c r="C44" s="32"/>
      <c r="D44" s="33">
        <v>26.5</v>
      </c>
      <c r="E44" s="34"/>
      <c r="F44" s="35">
        <v>219</v>
      </c>
      <c r="G44" s="32">
        <v>70</v>
      </c>
      <c r="H44" s="37">
        <v>0</v>
      </c>
      <c r="I44" s="38">
        <f t="shared" si="0"/>
        <v>0</v>
      </c>
    </row>
    <row r="45" spans="1:9" ht="10.199999999999999" customHeight="1" x14ac:dyDescent="0.3">
      <c r="A45" s="32" t="str">
        <f>HYPERLINK("http://avail.sbinursery.com/LiveInventoryDetail.aspx?CustomerID=954&amp;intItemKey=258&amp;ProductID=FOTGARDNO03&amp;wWidth=700&amp;wHeight=510&amp;intHort=0&amp;imgProID=FOTGARDNO03&amp;strUserType=Live","Fothergilla gardenii")</f>
        <v>Fothergilla gardenii</v>
      </c>
      <c r="B45" s="32" t="s">
        <v>22</v>
      </c>
      <c r="C45" s="32"/>
      <c r="D45" s="33">
        <v>28</v>
      </c>
      <c r="E45" s="34"/>
      <c r="F45" s="35">
        <v>0</v>
      </c>
      <c r="G45" s="32">
        <v>154</v>
      </c>
      <c r="H45" s="37">
        <v>0</v>
      </c>
      <c r="I45" s="38">
        <f t="shared" si="0"/>
        <v>0</v>
      </c>
    </row>
    <row r="46" spans="1:9" ht="10.199999999999999" customHeight="1" x14ac:dyDescent="0.3">
      <c r="A46" s="32" t="str">
        <f>HYPERLINK("http://avail.sbinursery.com/LiveInventoryDetail.aspx?CustomerID=954&amp;intItemKey=257&amp;ProductID=FOTGMTANO03&amp;wWidth=700&amp;wHeight=510&amp;intHort=0&amp;imgProID=FOTGMTANO03&amp;strUserType=Live","Fothergilla major 'Mount Airy'")</f>
        <v>Fothergilla major 'Mount Airy'</v>
      </c>
      <c r="B46" s="32" t="s">
        <v>22</v>
      </c>
      <c r="C46" s="32"/>
      <c r="D46" s="33">
        <v>28</v>
      </c>
      <c r="E46" s="34"/>
      <c r="F46" s="35">
        <v>352</v>
      </c>
      <c r="G46" s="32">
        <v>32</v>
      </c>
      <c r="H46" s="37">
        <v>0</v>
      </c>
      <c r="I46" s="38">
        <f t="shared" si="0"/>
        <v>0</v>
      </c>
    </row>
    <row r="47" spans="1:9" ht="10.199999999999999" customHeight="1" x14ac:dyDescent="0.3">
      <c r="A47" s="32" t="str">
        <f>HYPERLINK("http://avail.sbinursery.com/LiveInventoryDetail.aspx?CustomerID=954&amp;intItemKey=2012&amp;ProductID=HAMXCARNO07&amp;wWidth=700&amp;wHeight=510&amp;intHort=0&amp;imgProID=0&amp;strUserType=Live","Hamamelis x intermedia 'Carmine Red'")</f>
        <v>Hamamelis x intermedia 'Carmine Red'</v>
      </c>
      <c r="B47" s="32" t="s">
        <v>27</v>
      </c>
      <c r="C47" s="32"/>
      <c r="D47" s="33">
        <v>98</v>
      </c>
      <c r="E47" s="34"/>
      <c r="F47" s="35">
        <v>13</v>
      </c>
      <c r="G47" s="32">
        <v>0</v>
      </c>
      <c r="H47" s="37">
        <v>0</v>
      </c>
      <c r="I47" s="38">
        <f t="shared" si="0"/>
        <v>0</v>
      </c>
    </row>
    <row r="48" spans="1:9" ht="10.199999999999999" customHeight="1" x14ac:dyDescent="0.3">
      <c r="A48" s="32" t="str">
        <f>HYPERLINK("http://avail.sbinursery.com/LiveInventoryDetail.aspx?CustomerID=954&amp;intItemKey=1754&amp;ProductID=HAMXDIANO07&amp;wWidth=700&amp;wHeight=510&amp;intHort=0&amp;imgProID=HAMXDIANO07&amp;strUserType=Live","Hamamelis x 'Diane'")</f>
        <v>Hamamelis x 'Diane'</v>
      </c>
      <c r="B48" s="32" t="s">
        <v>27</v>
      </c>
      <c r="C48" s="32"/>
      <c r="D48" s="33">
        <v>98</v>
      </c>
      <c r="E48" s="34"/>
      <c r="F48" s="35">
        <v>78</v>
      </c>
      <c r="G48" s="32">
        <v>0</v>
      </c>
      <c r="H48" s="37">
        <v>0</v>
      </c>
      <c r="I48" s="38">
        <f t="shared" si="0"/>
        <v>0</v>
      </c>
    </row>
    <row r="49" spans="1:9" ht="10.199999999999999" customHeight="1" x14ac:dyDescent="0.3">
      <c r="A49" s="32" t="str">
        <f>HYPERLINK("http://avail.sbinursery.com/LiveInventoryDetail.aspx?CustomerID=954&amp;intItemKey=1820&amp;ProductID=HYDABLUNO03&amp;wWidth=700&amp;wHeight=510&amp;intHort=0&amp;imgProID=HYDABLUNO03&amp;strUserType=Live","Hydrangea a. 'NCHA4' PP28280 Incrediball® Blush")</f>
        <v>Hydrangea a. 'NCHA4' PP28280 Incrediball® Blush</v>
      </c>
      <c r="B49" s="32" t="s">
        <v>22</v>
      </c>
      <c r="C49" s="32"/>
      <c r="D49" s="33">
        <v>34</v>
      </c>
      <c r="E49" s="34"/>
      <c r="F49" s="35">
        <v>0</v>
      </c>
      <c r="G49" s="32">
        <v>152</v>
      </c>
      <c r="H49" s="37">
        <v>0</v>
      </c>
      <c r="I49" s="38">
        <f t="shared" si="0"/>
        <v>0</v>
      </c>
    </row>
    <row r="50" spans="1:9" ht="10.199999999999999" customHeight="1" x14ac:dyDescent="0.3">
      <c r="A50" s="32" t="str">
        <f>HYPERLINK("http://avail.sbinursery.com/LiveInventoryDetail.aspx?CustomerID=954&amp;intItemKey=332&amp;ProductID=HYDAINCNO03&amp;wWidth=700&amp;wHeight=510&amp;intHort=0&amp;imgProID=HYDAINCNO03&amp;strUserType=Live","Hydrangea a. 'Abetwo' PP20571 Incrediball®")</f>
        <v>Hydrangea a. 'Abetwo' PP20571 Incrediball®</v>
      </c>
      <c r="B50" s="32" t="s">
        <v>22</v>
      </c>
      <c r="C50" s="32"/>
      <c r="D50" s="33">
        <v>32</v>
      </c>
      <c r="E50" s="34"/>
      <c r="F50" s="35">
        <v>0</v>
      </c>
      <c r="G50" s="32">
        <v>130</v>
      </c>
      <c r="H50" s="37">
        <v>0</v>
      </c>
      <c r="I50" s="38">
        <f t="shared" si="0"/>
        <v>0</v>
      </c>
    </row>
    <row r="51" spans="1:9" ht="10.199999999999999" customHeight="1" x14ac:dyDescent="0.3">
      <c r="A51" s="32" t="str">
        <f>HYPERLINK("http://avail.sbinursery.com/LiveInventoryDetail.aspx?CustomerID=954&amp;intItemKey=334&amp;ProductID=HYDMABENO05&amp;wWidth=700&amp;wHeight=510&amp;intHort=0&amp;imgProID=HYDMABENO05&amp;strUserType=Live","Hydrangea macrophylla 'All Summer Beauty'")</f>
        <v>Hydrangea macrophylla 'All Summer Beauty'</v>
      </c>
      <c r="B51" s="32" t="s">
        <v>24</v>
      </c>
      <c r="C51" s="32"/>
      <c r="D51" s="33">
        <v>26.5</v>
      </c>
      <c r="E51" s="34"/>
      <c r="F51" s="35">
        <v>29</v>
      </c>
      <c r="G51" s="32">
        <v>0</v>
      </c>
      <c r="H51" s="37">
        <v>0</v>
      </c>
      <c r="I51" s="38">
        <f t="shared" si="0"/>
        <v>0</v>
      </c>
    </row>
    <row r="52" spans="1:9" ht="10.199999999999999" customHeight="1" x14ac:dyDescent="0.3">
      <c r="A52" s="32" t="str">
        <f>HYPERLINK("http://avail.sbinursery.com/LiveInventoryDetail.aspx?CustomerID=954&amp;intItemKey=1591&amp;ProductID=HYDMBLONO05&amp;wWidth=700&amp;wHeight=510&amp;intHort=0&amp;imgProID=HYDMBLONO05&amp;strUserType=Live","Hydrangea m. 'PIIHM-II' PP25566 Endless Summer® Bloomstruck®")</f>
        <v>Hydrangea m. 'PIIHM-II' PP25566 Endless Summer® Bloomstruck®</v>
      </c>
      <c r="B52" s="32" t="s">
        <v>24</v>
      </c>
      <c r="C52" s="32"/>
      <c r="D52" s="33">
        <v>39</v>
      </c>
      <c r="E52" s="34"/>
      <c r="F52" s="35">
        <v>237</v>
      </c>
      <c r="G52" s="32">
        <v>0</v>
      </c>
      <c r="H52" s="37">
        <v>0</v>
      </c>
      <c r="I52" s="38">
        <f t="shared" si="0"/>
        <v>0</v>
      </c>
    </row>
    <row r="53" spans="1:9" ht="10.199999999999999" customHeight="1" x14ac:dyDescent="0.3">
      <c r="A53" s="32" t="str">
        <f>HYPERLINK("http://avail.sbinursery.com/LiveInventoryDetail.aspx?CustomerID=954&amp;intItemKey=1848&amp;ProductID=HYDMCRUNO05&amp;wWidth=700&amp;wHeight=510&amp;intHort=0&amp;imgProID=HYDMCRUNO05&amp;strUserType=Live","Hydrangea m. 'Bailmacfive' PP30359 Summer Crush®")</f>
        <v>Hydrangea m. 'Bailmacfive' PP30359 Summer Crush®</v>
      </c>
      <c r="B53" s="32" t="s">
        <v>24</v>
      </c>
      <c r="C53" s="32"/>
      <c r="D53" s="33">
        <v>39</v>
      </c>
      <c r="E53" s="34"/>
      <c r="F53" s="35">
        <v>122</v>
      </c>
      <c r="G53" s="32">
        <v>0</v>
      </c>
      <c r="H53" s="37">
        <v>0</v>
      </c>
      <c r="I53" s="38">
        <f t="shared" si="0"/>
        <v>0</v>
      </c>
    </row>
    <row r="54" spans="1:9" ht="10.199999999999999" customHeight="1" x14ac:dyDescent="0.3">
      <c r="A54" s="32" t="str">
        <f>HYPERLINK("http://avail.sbinursery.com/LiveInventoryDetail.aspx?CustomerID=954&amp;intItemKey=1987&amp;ProductID=HYDMECLNO03&amp;wWidth=700&amp;wHeight=510&amp;intHort=0&amp;imgProID=0&amp;strUserType=Live","Hydrangea m. 'Bailmacseven' PP34544 Eclipse®")</f>
        <v>Hydrangea m. 'Bailmacseven' PP34544 Eclipse®</v>
      </c>
      <c r="B54" s="32" t="s">
        <v>22</v>
      </c>
      <c r="C54" s="32"/>
      <c r="D54" s="33">
        <v>29</v>
      </c>
      <c r="E54" s="34"/>
      <c r="F54" s="35">
        <v>71</v>
      </c>
      <c r="G54" s="32">
        <v>0</v>
      </c>
      <c r="H54" s="37">
        <v>0</v>
      </c>
      <c r="I54" s="38">
        <f t="shared" si="0"/>
        <v>0</v>
      </c>
    </row>
    <row r="55" spans="1:9" ht="10.199999999999999" customHeight="1" x14ac:dyDescent="0.3">
      <c r="A55" s="32" t="str">
        <f>HYPERLINK("http://avail.sbinursery.com/LiveInventoryDetail.aspx?CustomerID=954&amp;intItemKey=340&amp;ProductID=HYDMEMBNO03&amp;wWidth=700&amp;wHeight=510&amp;intHort=0&amp;imgProID=HYDMEMBNO03&amp;strUserType=Live","Hydrangea macrophylla 'Glowing Embers'")</f>
        <v>Hydrangea macrophylla 'Glowing Embers'</v>
      </c>
      <c r="B55" s="32" t="s">
        <v>22</v>
      </c>
      <c r="C55" s="32"/>
      <c r="D55" s="33">
        <v>19.5</v>
      </c>
      <c r="E55" s="34"/>
      <c r="F55" s="35">
        <v>29</v>
      </c>
      <c r="G55" s="32">
        <v>232</v>
      </c>
      <c r="H55" s="37">
        <v>0</v>
      </c>
      <c r="I55" s="38">
        <f t="shared" si="0"/>
        <v>0</v>
      </c>
    </row>
    <row r="56" spans="1:9" ht="10.199999999999999" customHeight="1" x14ac:dyDescent="0.3">
      <c r="A56" s="32" t="str">
        <f>HYPERLINK("http://avail.sbinursery.com/LiveInventoryDetail.aspx?CustomerID=954&amp;intItemKey=1643&amp;ProductID=HYDMLADNO03&amp;wWidth=700&amp;wHeight=510&amp;intHort=0&amp;imgProID=HYDMLADNO03&amp;strUserType=Live","Hydrangea macrophylla 'Lindsey Anne' PP26249 L.A. Dreamin®")</f>
        <v>Hydrangea macrophylla 'Lindsey Anne' PP26249 L.A. Dreamin®</v>
      </c>
      <c r="B56" s="32" t="s">
        <v>22</v>
      </c>
      <c r="C56" s="32"/>
      <c r="D56" s="33">
        <v>31</v>
      </c>
      <c r="E56" s="34"/>
      <c r="F56" s="35">
        <v>9</v>
      </c>
      <c r="G56" s="32">
        <v>0</v>
      </c>
      <c r="H56" s="37">
        <v>0</v>
      </c>
      <c r="I56" s="38">
        <f t="shared" si="0"/>
        <v>0</v>
      </c>
    </row>
    <row r="57" spans="1:9" ht="10.199999999999999" customHeight="1" x14ac:dyDescent="0.3">
      <c r="A57" s="32" t="str">
        <f>HYPERLINK("http://avail.sbinursery.com/LiveInventoryDetail.aspx?CustomerID=954&amp;intItemKey=1643&amp;ProductID=HYDMLADNO05&amp;wWidth=700&amp;wHeight=510&amp;intHort=0&amp;imgProID=HYDMLADNO05&amp;strUserType=Live","Hydrangea macrophylla 'Lindsey Anne' PP26249 L.A. Dreamin®")</f>
        <v>Hydrangea macrophylla 'Lindsey Anne' PP26249 L.A. Dreamin®</v>
      </c>
      <c r="B57" s="32" t="s">
        <v>24</v>
      </c>
      <c r="C57" s="32"/>
      <c r="D57" s="33">
        <v>39</v>
      </c>
      <c r="E57" s="34"/>
      <c r="F57" s="35">
        <v>6</v>
      </c>
      <c r="G57" s="32">
        <v>0</v>
      </c>
      <c r="H57" s="37">
        <v>0</v>
      </c>
      <c r="I57" s="38">
        <f t="shared" si="0"/>
        <v>0</v>
      </c>
    </row>
    <row r="58" spans="1:9" ht="10.199999999999999" customHeight="1" x14ac:dyDescent="0.3">
      <c r="A58" s="32" t="str">
        <f>HYPERLINK("http://avail.sbinursery.com/LiveInventoryDetail.aspx?CustomerID=954&amp;intItemKey=1850&amp;ProductID=HYDMTWINO05&amp;wWidth=700&amp;wHeight=510&amp;intHort=0&amp;imgProID=HYDMTWINO05&amp;strUserType=Live","Hydrangea m. 'PIIHM-I' PP20176 Twist-n-Shout®")</f>
        <v>Hydrangea m. 'PIIHM-I' PP20176 Twist-n-Shout®</v>
      </c>
      <c r="B58" s="32" t="s">
        <v>24</v>
      </c>
      <c r="C58" s="32"/>
      <c r="D58" s="33">
        <v>39</v>
      </c>
      <c r="E58" s="34"/>
      <c r="F58" s="35">
        <v>76</v>
      </c>
      <c r="G58" s="32">
        <v>0</v>
      </c>
      <c r="H58" s="37">
        <v>0</v>
      </c>
      <c r="I58" s="38">
        <f t="shared" si="0"/>
        <v>0</v>
      </c>
    </row>
    <row r="59" spans="1:9" ht="10.199999999999999" customHeight="1" x14ac:dyDescent="0.3">
      <c r="A59" s="32" t="str">
        <f>HYPERLINK("http://avail.sbinursery.com/LiveInventoryDetail.aspx?CustomerID=954&amp;intItemKey=1466&amp;ProductID=HYDPBOBNO05&amp;wWidth=700&amp;wHeight=510&amp;intHort=0&amp;imgProID=HYDPBOBNO05&amp;strUserType=Live","Hydrangea p. 'ILVOBO' PP22782 Bobo®")</f>
        <v>Hydrangea p. 'ILVOBO' PP22782 Bobo®</v>
      </c>
      <c r="B59" s="32" t="s">
        <v>24</v>
      </c>
      <c r="C59" s="32"/>
      <c r="D59" s="33">
        <v>39</v>
      </c>
      <c r="E59" s="34"/>
      <c r="F59" s="35">
        <v>2</v>
      </c>
      <c r="G59" s="32">
        <v>0</v>
      </c>
      <c r="H59" s="37">
        <v>0</v>
      </c>
      <c r="I59" s="38">
        <f t="shared" si="0"/>
        <v>0</v>
      </c>
    </row>
    <row r="60" spans="1:9" ht="10.199999999999999" customHeight="1" x14ac:dyDescent="0.3">
      <c r="A60" s="32" t="str">
        <f>HYPERLINK("http://avail.sbinursery.com/LiveInventoryDetail.aspx?CustomerID=954&amp;intItemKey=1466&amp;ProductID=HYDPBOBNO07&amp;wWidth=700&amp;wHeight=510&amp;intHort=0&amp;imgProID=HYDPBOBNO07&amp;strUserType=Live","Hydrangea p. 'ILVOBO' PP22782 Bobo®")</f>
        <v>Hydrangea p. 'ILVOBO' PP22782 Bobo®</v>
      </c>
      <c r="B60" s="32" t="s">
        <v>27</v>
      </c>
      <c r="C60" s="32"/>
      <c r="D60" s="33">
        <v>54</v>
      </c>
      <c r="E60" s="34"/>
      <c r="F60" s="35">
        <v>21</v>
      </c>
      <c r="G60" s="32">
        <v>0</v>
      </c>
      <c r="H60" s="37">
        <v>0</v>
      </c>
      <c r="I60" s="38">
        <f t="shared" si="0"/>
        <v>0</v>
      </c>
    </row>
    <row r="61" spans="1:9" ht="10.199999999999999" customHeight="1" x14ac:dyDescent="0.3">
      <c r="A61" s="32" t="str">
        <f>HYPERLINK("http://avail.sbinursery.com/LiveInventoryDetail.aspx?CustomerID=954&amp;intItemKey=345&amp;ProductID=HYDPFIRNO03&amp;wWidth=700&amp;wHeight=510&amp;intHort=0&amp;imgProID=HYDPFIRNO03&amp;strUserType=Live","Hydrangea p. 'Bulk' PP16812 Quick Fire®")</f>
        <v>Hydrangea p. 'Bulk' PP16812 Quick Fire®</v>
      </c>
      <c r="B61" s="32" t="s">
        <v>22</v>
      </c>
      <c r="C61" s="32"/>
      <c r="D61" s="33">
        <v>29.5</v>
      </c>
      <c r="E61" s="34"/>
      <c r="F61" s="35">
        <v>0</v>
      </c>
      <c r="G61" s="32">
        <v>223</v>
      </c>
      <c r="H61" s="37">
        <v>0</v>
      </c>
      <c r="I61" s="38">
        <f t="shared" si="0"/>
        <v>0</v>
      </c>
    </row>
    <row r="62" spans="1:9" ht="10.199999999999999" customHeight="1" x14ac:dyDescent="0.3">
      <c r="A62" s="32" t="str">
        <f>HYPERLINK("http://avail.sbinursery.com/LiveInventoryDetail.aspx?CustomerID=954&amp;intItemKey=1846&amp;ProductID=HYDPFLINO05&amp;wWidth=700&amp;wHeight=510&amp;intHort=0&amp;imgProID=0&amp;strUserType=Live","Hydrangea p. 'SMHPFL' PP25135 Fire Light®")</f>
        <v>Hydrangea p. 'SMHPFL' PP25135 Fire Light®</v>
      </c>
      <c r="B62" s="32" t="s">
        <v>24</v>
      </c>
      <c r="C62" s="32"/>
      <c r="D62" s="33">
        <v>38.5</v>
      </c>
      <c r="E62" s="34"/>
      <c r="F62" s="35">
        <v>54</v>
      </c>
      <c r="G62" s="32">
        <v>0</v>
      </c>
      <c r="H62" s="37">
        <v>0</v>
      </c>
      <c r="I62" s="38">
        <f t="shared" si="0"/>
        <v>0</v>
      </c>
    </row>
    <row r="63" spans="1:9" ht="10.199999999999999" customHeight="1" x14ac:dyDescent="0.3">
      <c r="A63" s="32" t="str">
        <f>HYPERLINK("http://avail.sbinursery.com/LiveInventoryDetail.aspx?CustomerID=954&amp;intItemKey=350&amp;ProductID=HYDPLIMNO05&amp;wWidth=700&amp;wHeight=510&amp;intHort=0&amp;imgProID=HYDPLIMNO05&amp;strUserType=Live","Hydrangea p. 'Limelight' PP12874")</f>
        <v>Hydrangea p. 'Limelight' PP12874</v>
      </c>
      <c r="B63" s="32" t="s">
        <v>24</v>
      </c>
      <c r="C63" s="32"/>
      <c r="D63" s="33">
        <v>39</v>
      </c>
      <c r="E63" s="34"/>
      <c r="F63" s="35">
        <v>19</v>
      </c>
      <c r="G63" s="32">
        <v>272</v>
      </c>
      <c r="H63" s="37">
        <v>0</v>
      </c>
      <c r="I63" s="38">
        <f t="shared" si="0"/>
        <v>0</v>
      </c>
    </row>
    <row r="64" spans="1:9" ht="10.199999999999999" customHeight="1" x14ac:dyDescent="0.3">
      <c r="A64" s="32" t="str">
        <f>HYPERLINK("http://avail.sbinursery.com/LiveInventoryDetail.aspx?CustomerID=954&amp;intItemKey=350&amp;ProductID=HYDPLIMNO07&amp;wWidth=700&amp;wHeight=510&amp;intHort=0&amp;imgProID=HYDPLIMNO07&amp;strUserType=Live","Hydrangea p. 'Limelight' PP12874")</f>
        <v>Hydrangea p. 'Limelight' PP12874</v>
      </c>
      <c r="B64" s="32" t="s">
        <v>27</v>
      </c>
      <c r="C64" s="32"/>
      <c r="D64" s="33">
        <v>54</v>
      </c>
      <c r="E64" s="34"/>
      <c r="F64" s="35">
        <v>33</v>
      </c>
      <c r="G64" s="32">
        <v>0</v>
      </c>
      <c r="H64" s="37">
        <v>0</v>
      </c>
      <c r="I64" s="38">
        <f t="shared" si="0"/>
        <v>0</v>
      </c>
    </row>
    <row r="65" spans="1:9" ht="10.199999999999999" customHeight="1" x14ac:dyDescent="0.3">
      <c r="A65" s="32" t="str">
        <f>HYPERLINK("http://avail.sbinursery.com/LiveInventoryDetail.aspx?CustomerID=954&amp;intItemKey=1941&amp;ProductID=HYDPLLPNO03&amp;wWidth=700&amp;wHeight=510&amp;intHort=0&amp;imgProID=HYDPLLPNO03&amp;strUserType=Live","Hydrangea paniculata Little Lime Punch®")</f>
        <v>Hydrangea paniculata Little Lime Punch®</v>
      </c>
      <c r="B65" s="32" t="s">
        <v>22</v>
      </c>
      <c r="C65" s="32"/>
      <c r="D65" s="33">
        <v>29.5</v>
      </c>
      <c r="E65" s="34"/>
      <c r="F65" s="35">
        <v>15</v>
      </c>
      <c r="G65" s="32">
        <v>0</v>
      </c>
      <c r="H65" s="37">
        <v>0</v>
      </c>
      <c r="I65" s="38">
        <f t="shared" si="0"/>
        <v>0</v>
      </c>
    </row>
    <row r="66" spans="1:9" ht="10.199999999999999" customHeight="1" x14ac:dyDescent="0.3">
      <c r="A66" s="32" t="str">
        <f>HYPERLINK("http://avail.sbinursery.com/LiveInventoryDetail.aspx?CustomerID=954&amp;intItemKey=1933&amp;ProductID=HYDPLPRNO07&amp;wWidth=700&amp;wHeight=510&amp;intHort=0&amp;imgProID=HYDPLPRNO07&amp;strUserType=Live","Hydrangea paniculata Limelight Prime®")</f>
        <v>Hydrangea paniculata Limelight Prime®</v>
      </c>
      <c r="B66" s="32" t="s">
        <v>27</v>
      </c>
      <c r="C66" s="32"/>
      <c r="D66" s="33">
        <v>54</v>
      </c>
      <c r="E66" s="34"/>
      <c r="F66" s="35">
        <v>6</v>
      </c>
      <c r="G66" s="32">
        <v>0</v>
      </c>
      <c r="H66" s="37">
        <v>0</v>
      </c>
      <c r="I66" s="38">
        <f t="shared" si="0"/>
        <v>0</v>
      </c>
    </row>
    <row r="67" spans="1:9" ht="10.199999999999999" customHeight="1" x14ac:dyDescent="0.3">
      <c r="A67" s="32" t="str">
        <f>HYPERLINK("http://avail.sbinursery.com/LiveInventoryDetail.aspx?CustomerID=954&amp;intItemKey=1276&amp;ProductID=HYDPVANNO03&amp;wWidth=700&amp;wHeight=510&amp;intHort=0&amp;imgProID=HYDPVANNO03&amp;strUserType=Live","Hydrangea p. 'Renhy' PP20670 First Editions® Vanilla Strawberry™")</f>
        <v>Hydrangea p. 'Renhy' PP20670 First Editions® Vanilla Strawberry™</v>
      </c>
      <c r="B67" s="32" t="s">
        <v>22</v>
      </c>
      <c r="C67" s="32"/>
      <c r="D67" s="33">
        <v>29.5</v>
      </c>
      <c r="E67" s="34"/>
      <c r="F67" s="35">
        <v>69</v>
      </c>
      <c r="G67" s="32">
        <v>0</v>
      </c>
      <c r="H67" s="37">
        <v>0</v>
      </c>
      <c r="I67" s="38">
        <f t="shared" ref="I67:I115" si="1">PRODUCT(D67,H67)</f>
        <v>0</v>
      </c>
    </row>
    <row r="68" spans="1:9" ht="10.199999999999999" customHeight="1" x14ac:dyDescent="0.3">
      <c r="A68" s="32" t="str">
        <f>HYPERLINK("http://avail.sbinursery.com/LiveInventoryDetail.aspx?CustomerID=954&amp;intItemKey=353&amp;ProductID=HYDPWINNO03&amp;wWidth=700&amp;wHeight=510&amp;intHort=0&amp;imgProID=HYDPWINNO03&amp;strUserType=Live","Hydrangea p. 'DVP PINKY' PP161669 Pinky WInky®")</f>
        <v>Hydrangea p. 'DVP PINKY' PP161669 Pinky WInky®</v>
      </c>
      <c r="B68" s="32" t="s">
        <v>22</v>
      </c>
      <c r="C68" s="32"/>
      <c r="D68" s="33">
        <v>29.5</v>
      </c>
      <c r="E68" s="34"/>
      <c r="F68" s="35">
        <v>52</v>
      </c>
      <c r="G68" s="32">
        <v>0</v>
      </c>
      <c r="H68" s="37">
        <v>0</v>
      </c>
      <c r="I68" s="38">
        <f t="shared" si="1"/>
        <v>0</v>
      </c>
    </row>
    <row r="69" spans="1:9" ht="10.199999999999999" customHeight="1" x14ac:dyDescent="0.3">
      <c r="A69" s="32" t="str">
        <f>HYPERLINK("http://avail.sbinursery.com/LiveInventoryDetail.aspx?CustomerID=954&amp;intItemKey=353&amp;ProductID=HYDPWINNO05&amp;wWidth=700&amp;wHeight=510&amp;intHort=0&amp;imgProID=HYDPWINNO05&amp;strUserType=Live","Hydrangea p. 'DVP PINKY' PP161669 Pinky WInky®")</f>
        <v>Hydrangea p. 'DVP PINKY' PP161669 Pinky WInky®</v>
      </c>
      <c r="B69" s="32" t="s">
        <v>24</v>
      </c>
      <c r="C69" s="32"/>
      <c r="D69" s="33">
        <v>39</v>
      </c>
      <c r="E69" s="34"/>
      <c r="F69" s="35">
        <v>22</v>
      </c>
      <c r="G69" s="32">
        <v>0</v>
      </c>
      <c r="H69" s="37">
        <v>0</v>
      </c>
      <c r="I69" s="38">
        <f t="shared" si="1"/>
        <v>0</v>
      </c>
    </row>
    <row r="70" spans="1:9" ht="10.199999999999999" customHeight="1" x14ac:dyDescent="0.3">
      <c r="A70" s="32" t="str">
        <f>HYPERLINK("http://avail.sbinursery.com/LiveInventoryDetail.aspx?CustomerID=954&amp;intItemKey=357&amp;ProductID=HYDQPEWNO03&amp;wWidth=700&amp;wHeight=510&amp;intHort=0&amp;imgProID=HYDQPEWNO03&amp;strUserType=Live","Hydrangea quercifolia 'Pee Wee'")</f>
        <v>Hydrangea quercifolia 'Pee Wee'</v>
      </c>
      <c r="B70" s="32" t="s">
        <v>22</v>
      </c>
      <c r="C70" s="32"/>
      <c r="D70" s="33">
        <v>25</v>
      </c>
      <c r="E70" s="34"/>
      <c r="F70" s="35">
        <v>110</v>
      </c>
      <c r="G70" s="32">
        <v>1143</v>
      </c>
      <c r="H70" s="37">
        <v>0</v>
      </c>
      <c r="I70" s="38">
        <f t="shared" si="1"/>
        <v>0</v>
      </c>
    </row>
    <row r="71" spans="1:9" ht="10.199999999999999" customHeight="1" x14ac:dyDescent="0.3">
      <c r="A71" s="32" t="str">
        <f>HYPERLINK("http://avail.sbinursery.com/LiveInventoryDetail.aspx?CustomerID=954&amp;intItemKey=358&amp;ProductID=HYDQQUENO05&amp;wWidth=700&amp;wHeight=510&amp;intHort=0&amp;imgProID=HYDQQUENO05&amp;strUserType=Live","Hydrangea quercifolia 'Flemgya' Snow Queen")</f>
        <v>Hydrangea quercifolia 'Flemgya' Snow Queen</v>
      </c>
      <c r="B71" s="32" t="s">
        <v>24</v>
      </c>
      <c r="C71" s="32"/>
      <c r="D71" s="33">
        <v>34</v>
      </c>
      <c r="E71" s="34"/>
      <c r="F71" s="35">
        <v>0</v>
      </c>
      <c r="G71" s="32">
        <v>443</v>
      </c>
      <c r="H71" s="37">
        <v>0</v>
      </c>
      <c r="I71" s="38">
        <f t="shared" si="1"/>
        <v>0</v>
      </c>
    </row>
    <row r="72" spans="1:9" ht="10.199999999999999" customHeight="1" x14ac:dyDescent="0.3">
      <c r="A72" s="32" t="str">
        <f>HYPERLINK("http://avail.sbinursery.com/LiveInventoryDetail.aspx?CustomerID=954&amp;intItemKey=1467&amp;ProductID=HYDQRUBNO03&amp;wWidth=700&amp;wHeight=510&amp;intHort=0&amp;imgProID=HYDQRUBNO03&amp;strUserType=Live","Hydrangea quercifolia 'Ruby Slippers'")</f>
        <v>Hydrangea quercifolia 'Ruby Slippers'</v>
      </c>
      <c r="B72" s="32" t="s">
        <v>22</v>
      </c>
      <c r="C72" s="32"/>
      <c r="D72" s="33">
        <v>25</v>
      </c>
      <c r="E72" s="34"/>
      <c r="F72" s="35">
        <v>5</v>
      </c>
      <c r="G72" s="32">
        <v>0</v>
      </c>
      <c r="H72" s="37">
        <v>0</v>
      </c>
      <c r="I72" s="38">
        <f t="shared" si="1"/>
        <v>0</v>
      </c>
    </row>
    <row r="73" spans="1:9" ht="10.199999999999999" customHeight="1" x14ac:dyDescent="0.3">
      <c r="A73" s="32" t="str">
        <f>HYPERLINK("http://avail.sbinursery.com/LiveInventoryDetail.aspx?CustomerID=954&amp;intItemKey=1467&amp;ProductID=HYDQRUBNO05&amp;wWidth=700&amp;wHeight=510&amp;intHort=0&amp;imgProID=HYDQRUBNO05&amp;strUserType=Live","Hydrangea quercifolia 'Ruby Slippers'")</f>
        <v>Hydrangea quercifolia 'Ruby Slippers'</v>
      </c>
      <c r="B73" s="32" t="s">
        <v>24</v>
      </c>
      <c r="C73" s="32"/>
      <c r="D73" s="33">
        <v>34</v>
      </c>
      <c r="E73" s="34"/>
      <c r="F73" s="35">
        <v>220</v>
      </c>
      <c r="G73" s="32">
        <v>583</v>
      </c>
      <c r="H73" s="37">
        <v>0</v>
      </c>
      <c r="I73" s="38">
        <f t="shared" si="1"/>
        <v>0</v>
      </c>
    </row>
    <row r="74" spans="1:9" ht="10.199999999999999" customHeight="1" x14ac:dyDescent="0.3">
      <c r="A74" s="32" t="str">
        <f>HYPERLINK("http://avail.sbinursery.com/LiveInventoryDetail.aspx?CustomerID=954&amp;intItemKey=1997&amp;ProductID=HYDQSIKNO03&amp;wWidth=700&amp;wHeight=510&amp;intHort=0&amp;imgProID=0&amp;strUserType=Live","Hydrangea quercifolia 'Sike's Dwarf'")</f>
        <v>Hydrangea quercifolia 'Sike's Dwarf'</v>
      </c>
      <c r="B74" s="32" t="s">
        <v>22</v>
      </c>
      <c r="C74" s="32"/>
      <c r="D74" s="33">
        <v>25</v>
      </c>
      <c r="E74" s="34"/>
      <c r="F74" s="35">
        <v>151</v>
      </c>
      <c r="G74" s="32">
        <v>0</v>
      </c>
      <c r="H74" s="37">
        <v>0</v>
      </c>
      <c r="I74" s="38">
        <f t="shared" si="1"/>
        <v>0</v>
      </c>
    </row>
    <row r="75" spans="1:9" ht="10.199999999999999" customHeight="1" x14ac:dyDescent="0.3">
      <c r="A75" s="32" t="str">
        <f>HYPERLINK("http://avail.sbinursery.com/LiveInventoryDetail.aspx?CustomerID=954&amp;intItemKey=356&amp;ProductID=HYDQUERNO07&amp;wWidth=700&amp;wHeight=510&amp;intHort=0&amp;imgProID=HYDQUERNO07&amp;strUserType=Live","Hydrangea quercifolia")</f>
        <v>Hydrangea quercifolia</v>
      </c>
      <c r="B75" s="32" t="s">
        <v>27</v>
      </c>
      <c r="C75" s="32"/>
      <c r="D75" s="33">
        <v>52</v>
      </c>
      <c r="E75" s="34"/>
      <c r="F75" s="35">
        <v>0</v>
      </c>
      <c r="G75" s="32">
        <v>25</v>
      </c>
      <c r="H75" s="37">
        <v>0</v>
      </c>
      <c r="I75" s="38">
        <f t="shared" si="1"/>
        <v>0</v>
      </c>
    </row>
    <row r="76" spans="1:9" ht="10.199999999999999" customHeight="1" x14ac:dyDescent="0.3">
      <c r="A76" s="32" t="str">
        <f>HYPERLINK("http://avail.sbinursery.com/LiveInventoryDetail.aspx?CustomerID=954&amp;intItemKey=1122&amp;ProductID=ILEVJIMNO05&amp;wWidth=700&amp;wHeight=510&amp;intHort=0&amp;imgProID=ILEVJIMNO05&amp;strUserType=Live","Ilex verticillata 'Jim Dandy'")</f>
        <v>Ilex verticillata 'Jim Dandy'</v>
      </c>
      <c r="B76" s="32" t="s">
        <v>24</v>
      </c>
      <c r="C76" s="32"/>
      <c r="D76" s="33">
        <v>34</v>
      </c>
      <c r="E76" s="34"/>
      <c r="F76" s="35">
        <v>32</v>
      </c>
      <c r="G76" s="32">
        <v>126</v>
      </c>
      <c r="H76" s="37">
        <v>0</v>
      </c>
      <c r="I76" s="38">
        <f t="shared" si="1"/>
        <v>0</v>
      </c>
    </row>
    <row r="77" spans="1:9" ht="10.199999999999999" customHeight="1" x14ac:dyDescent="0.3">
      <c r="A77" s="32" t="str">
        <f>HYPERLINK("http://avail.sbinursery.com/LiveInventoryDetail.aspx?CustomerID=954&amp;intItemKey=1497&amp;ProductID=ILEVREDNO05&amp;wWidth=700&amp;wHeight=510&amp;intHort=0&amp;imgProID=ILEVREDNO05&amp;strUserType=Live","Ilex verticillata 'Red Sprite'")</f>
        <v>Ilex verticillata 'Red Sprite'</v>
      </c>
      <c r="B77" s="32" t="s">
        <v>24</v>
      </c>
      <c r="C77" s="32"/>
      <c r="D77" s="33">
        <v>34</v>
      </c>
      <c r="E77" s="34"/>
      <c r="F77" s="35">
        <v>135</v>
      </c>
      <c r="G77" s="32">
        <v>67</v>
      </c>
      <c r="H77" s="37">
        <v>0</v>
      </c>
      <c r="I77" s="38">
        <f t="shared" si="1"/>
        <v>0</v>
      </c>
    </row>
    <row r="78" spans="1:9" ht="10.199999999999999" customHeight="1" x14ac:dyDescent="0.3">
      <c r="A78" s="32" t="str">
        <f>HYPERLINK("http://avail.sbinursery.com/LiveInventoryDetail.aspx?CustomerID=954&amp;intItemKey=1875&amp;ProductID=ILEVWINNO05&amp;wWidth=700&amp;wHeight=510&amp;intHort=0&amp;imgProID=ILEVWINNO05&amp;strUserType=Live","Ilex verticillata 'Winter Red' PRE#29912")</f>
        <v>Ilex verticillata 'Winter Red' PRE#29912</v>
      </c>
      <c r="B78" s="32" t="s">
        <v>24</v>
      </c>
      <c r="C78" s="32"/>
      <c r="D78" s="33">
        <v>34</v>
      </c>
      <c r="E78" s="34"/>
      <c r="F78" s="35">
        <v>124</v>
      </c>
      <c r="G78" s="32">
        <v>34</v>
      </c>
      <c r="H78" s="37">
        <v>0</v>
      </c>
      <c r="I78" s="38">
        <f t="shared" si="1"/>
        <v>0</v>
      </c>
    </row>
    <row r="79" spans="1:9" ht="10.199999999999999" customHeight="1" x14ac:dyDescent="0.3">
      <c r="A79" s="32" t="str">
        <f>HYPERLINK("http://avail.sbinursery.com/LiveInventoryDetail.aspx?CustomerID=954&amp;intItemKey=1943&amp;ProductID=ITEVSCENO03&amp;wWidth=700&amp;wHeight=510&amp;intHort=0&amp;imgProID=ITEVSCENO03&amp;strUserType=Live","Itea virginica Scentlandia®")</f>
        <v>Itea virginica Scentlandia®</v>
      </c>
      <c r="B79" s="32" t="s">
        <v>22</v>
      </c>
      <c r="C79" s="32"/>
      <c r="D79" s="33">
        <v>29.5</v>
      </c>
      <c r="E79" s="34"/>
      <c r="F79" s="35">
        <v>289</v>
      </c>
      <c r="G79" s="32">
        <v>0</v>
      </c>
      <c r="H79" s="37">
        <v>0</v>
      </c>
      <c r="I79" s="38">
        <f t="shared" si="1"/>
        <v>0</v>
      </c>
    </row>
    <row r="80" spans="1:9" ht="10.199999999999999" customHeight="1" x14ac:dyDescent="0.3">
      <c r="A80" s="32" t="str">
        <f>HYPERLINK("http://avail.sbinursery.com/LiveInventoryDetail.aspx?CustomerID=954&amp;intItemKey=418&amp;ProductID=LIGVCHENO05&amp;wWidth=700&amp;wHeight=510&amp;intHort=0&amp;imgProID=LIGVCHENO05&amp;strUserType=Live","Ligustrum vulgare 'Cheyenne'")</f>
        <v>Ligustrum vulgare 'Cheyenne'</v>
      </c>
      <c r="B80" s="32" t="s">
        <v>24</v>
      </c>
      <c r="C80" s="32"/>
      <c r="D80" s="33">
        <v>28</v>
      </c>
      <c r="E80" s="34"/>
      <c r="F80" s="35">
        <v>247</v>
      </c>
      <c r="G80" s="32">
        <v>0</v>
      </c>
      <c r="H80" s="37">
        <v>0</v>
      </c>
      <c r="I80" s="38">
        <f t="shared" si="1"/>
        <v>0</v>
      </c>
    </row>
    <row r="81" spans="1:9" ht="10.199999999999999" customHeight="1" x14ac:dyDescent="0.3">
      <c r="A81" s="32" t="str">
        <f>HYPERLINK("http://avail.sbinursery.com/LiveInventoryDetail.aspx?CustomerID=954&amp;intItemKey=419&amp;ProductID=LIGXVICNO03&amp;wWidth=700&amp;wHeight=510&amp;intHort=0&amp;imgProID=LIGXVICNO03&amp;strUserType=Live","Ligustrum x 'Vicary'")</f>
        <v>Ligustrum x 'Vicary'</v>
      </c>
      <c r="B81" s="32" t="s">
        <v>22</v>
      </c>
      <c r="C81" s="32"/>
      <c r="D81" s="33">
        <v>19.5</v>
      </c>
      <c r="E81" s="34"/>
      <c r="F81" s="35">
        <v>136</v>
      </c>
      <c r="G81" s="32">
        <v>351</v>
      </c>
      <c r="H81" s="37">
        <v>0</v>
      </c>
      <c r="I81" s="38">
        <f t="shared" si="1"/>
        <v>0</v>
      </c>
    </row>
    <row r="82" spans="1:9" ht="10.199999999999999" customHeight="1" x14ac:dyDescent="0.3">
      <c r="A82" s="32" t="str">
        <f>HYPERLINK("http://avail.sbinursery.com/LiveInventoryDetail.aspx?CustomerID=954&amp;intItemKey=500&amp;ProductID=MYRPBOBNO05&amp;wWidth=700&amp;wHeight=510&amp;intHort=0&amp;imgProID=MYRPBOBNO05&amp;strUserType=Live","Myrica pensylvanica 'Bobazam' Bobbee™")</f>
        <v>Myrica pensylvanica 'Bobazam' Bobbee™</v>
      </c>
      <c r="B82" s="32" t="s">
        <v>24</v>
      </c>
      <c r="C82" s="32"/>
      <c r="D82" s="33">
        <v>38</v>
      </c>
      <c r="E82" s="34"/>
      <c r="F82" s="35">
        <v>4</v>
      </c>
      <c r="G82" s="32">
        <v>556</v>
      </c>
      <c r="H82" s="37">
        <v>0</v>
      </c>
      <c r="I82" s="38">
        <f t="shared" si="1"/>
        <v>0</v>
      </c>
    </row>
    <row r="83" spans="1:9" ht="10.199999999999999" customHeight="1" x14ac:dyDescent="0.3">
      <c r="A83" s="32" t="str">
        <f>HYPERLINK("http://avail.sbinursery.com/LiveInventoryDetail.aspx?CustomerID=954&amp;intItemKey=499&amp;ProductID=MYRPENSNO05&amp;wWidth=700&amp;wHeight=510&amp;intHort=0&amp;imgProID=MYRPENSNO05&amp;strUserType=Live","Myrica pensylvanica")</f>
        <v>Myrica pensylvanica</v>
      </c>
      <c r="B83" s="32" t="s">
        <v>24</v>
      </c>
      <c r="C83" s="32"/>
      <c r="D83" s="33">
        <v>37</v>
      </c>
      <c r="E83" s="34"/>
      <c r="F83" s="35">
        <v>126</v>
      </c>
      <c r="G83" s="32">
        <v>0</v>
      </c>
      <c r="H83" s="37">
        <v>0</v>
      </c>
      <c r="I83" s="38">
        <f t="shared" si="1"/>
        <v>0</v>
      </c>
    </row>
    <row r="84" spans="1:9" ht="10.199999999999999" customHeight="1" x14ac:dyDescent="0.3">
      <c r="A84" s="32" t="str">
        <f>HYPERLINK("http://avail.sbinursery.com/LiveInventoryDetail.aspx?CustomerID=954&amp;intItemKey=558&amp;ProductID=POTFABBNO03&amp;wWidth=700&amp;wHeight=510&amp;intHort=0&amp;imgProID=POTFABBNO03&amp;strUserType=Live","Potentilla fruticosa 'Abbotswood'")</f>
        <v>Potentilla fruticosa 'Abbotswood'</v>
      </c>
      <c r="B84" s="32" t="s">
        <v>22</v>
      </c>
      <c r="C84" s="32"/>
      <c r="D84" s="33">
        <v>19.5</v>
      </c>
      <c r="E84" s="34"/>
      <c r="F84" s="35">
        <v>372</v>
      </c>
      <c r="G84" s="32">
        <v>83</v>
      </c>
      <c r="H84" s="37">
        <v>0</v>
      </c>
      <c r="I84" s="38">
        <f t="shared" si="1"/>
        <v>0</v>
      </c>
    </row>
    <row r="85" spans="1:9" ht="10.199999999999999" customHeight="1" x14ac:dyDescent="0.3">
      <c r="A85" s="32" t="str">
        <f>HYPERLINK("http://avail.sbinursery.com/LiveInventoryDetail.aspx?CustomerID=954&amp;intItemKey=560&amp;ProductID=POTFPBYNO03&amp;wWidth=700&amp;wHeight=510&amp;intHort=0&amp;imgProID=POTFPBYNO03&amp;strUserType=Live","Potentilla f. Pink Beauty")</f>
        <v>Potentilla f. Pink Beauty</v>
      </c>
      <c r="B85" s="32" t="s">
        <v>22</v>
      </c>
      <c r="C85" s="32"/>
      <c r="D85" s="33">
        <v>19.5</v>
      </c>
      <c r="E85" s="34"/>
      <c r="F85" s="35">
        <v>352</v>
      </c>
      <c r="G85" s="32">
        <v>83</v>
      </c>
      <c r="H85" s="37">
        <v>0</v>
      </c>
      <c r="I85" s="38">
        <f t="shared" si="1"/>
        <v>0</v>
      </c>
    </row>
    <row r="86" spans="1:9" ht="10.199999999999999" customHeight="1" x14ac:dyDescent="0.3">
      <c r="A86" s="32" t="str">
        <f>HYPERLINK("http://avail.sbinursery.com/LiveInventoryDetail.aspx?CustomerID=954&amp;intItemKey=557&amp;ProductID=POTFSUNNO03&amp;wWidth=700&amp;wHeight=510&amp;intHort=0&amp;imgProID=POTFSUNNO03&amp;strUserType=Live","Potentilla fruticosa 'Fargo' Dakota Sunspot®")</f>
        <v>Potentilla fruticosa 'Fargo' Dakota Sunspot®</v>
      </c>
      <c r="B86" s="32" t="s">
        <v>22</v>
      </c>
      <c r="C86" s="32"/>
      <c r="D86" s="33">
        <v>19.5</v>
      </c>
      <c r="E86" s="34"/>
      <c r="F86" s="35">
        <v>256</v>
      </c>
      <c r="G86" s="32">
        <v>0</v>
      </c>
      <c r="H86" s="37">
        <v>0</v>
      </c>
      <c r="I86" s="38">
        <f t="shared" si="1"/>
        <v>0</v>
      </c>
    </row>
    <row r="87" spans="1:9" ht="10.199999999999999" customHeight="1" x14ac:dyDescent="0.3">
      <c r="A87" s="32" t="str">
        <f>HYPERLINK("http://avail.sbinursery.com/LiveInventoryDetail.aspx?CustomerID=954&amp;intItemKey=614&amp;ProductID=RHUAGRONO03&amp;wWidth=700&amp;wHeight=510&amp;intHort=0&amp;imgProID=RHUAGRONO03&amp;strUserType=Live","Rhus a. 'Gro-low'")</f>
        <v>Rhus a. 'Gro-low'</v>
      </c>
      <c r="B87" s="32" t="s">
        <v>22</v>
      </c>
      <c r="C87" s="32"/>
      <c r="D87" s="33">
        <v>22.5</v>
      </c>
      <c r="E87" s="34"/>
      <c r="F87" s="35">
        <v>0</v>
      </c>
      <c r="G87" s="32">
        <v>901</v>
      </c>
      <c r="H87" s="37">
        <v>0</v>
      </c>
      <c r="I87" s="38">
        <f t="shared" si="1"/>
        <v>0</v>
      </c>
    </row>
    <row r="88" spans="1:9" ht="10.199999999999999" customHeight="1" x14ac:dyDescent="0.3">
      <c r="A88" s="32" t="str">
        <f>HYPERLINK("http://avail.sbinursery.com/LiveInventoryDetail.aspx?CustomerID=954&amp;intItemKey=1994&amp;ProductID=RHUTAUTNO03&amp;wWidth=700&amp;wHeight=510&amp;intHort=0&amp;imgProID=RHUTAUTNO03&amp;strUserType=Live","Rhus trilobata 'Autumn Amber'")</f>
        <v>Rhus trilobata 'Autumn Amber'</v>
      </c>
      <c r="B88" s="32" t="s">
        <v>22</v>
      </c>
      <c r="C88" s="32"/>
      <c r="D88" s="33">
        <v>24</v>
      </c>
      <c r="E88" s="34"/>
      <c r="F88" s="35">
        <v>23</v>
      </c>
      <c r="G88" s="32">
        <v>0</v>
      </c>
      <c r="H88" s="37">
        <v>0</v>
      </c>
      <c r="I88" s="38">
        <f t="shared" si="1"/>
        <v>0</v>
      </c>
    </row>
    <row r="89" spans="1:9" ht="10.199999999999999" customHeight="1" x14ac:dyDescent="0.3">
      <c r="A89" s="32" t="str">
        <f>HYPERLINK("http://avail.sbinursery.com/LiveInventoryDetail.aspx?CustomerID=954&amp;intItemKey=1525&amp;ProductID=RHUTLACNO05&amp;wWidth=700&amp;wHeight=510&amp;intHort=0&amp;imgProID=0&amp;strUserType=Live","Rhus typhina 'Laciniata'")</f>
        <v>Rhus typhina 'Laciniata'</v>
      </c>
      <c r="B89" s="32" t="s">
        <v>24</v>
      </c>
      <c r="C89" s="32"/>
      <c r="D89" s="33">
        <v>35</v>
      </c>
      <c r="E89" s="34"/>
      <c r="F89" s="35">
        <v>24</v>
      </c>
      <c r="G89" s="32">
        <v>0</v>
      </c>
      <c r="H89" s="37">
        <v>0</v>
      </c>
      <c r="I89" s="38">
        <f t="shared" si="1"/>
        <v>0</v>
      </c>
    </row>
    <row r="90" spans="1:9" ht="10.199999999999999" customHeight="1" x14ac:dyDescent="0.3">
      <c r="A90" s="32" t="str">
        <f>HYPERLINK("http://avail.sbinursery.com/LiveInventoryDetail.aspx?CustomerID=954&amp;intItemKey=1972&amp;ProductID=SALCICENO03&amp;wWidth=700&amp;wHeight=510&amp;intHort=0&amp;imgProID=SALCICENO03&amp;strUserType=Live","Salix candida 'Jefberg' First Editions® Iceberg Alley®")</f>
        <v>Salix candida 'Jefberg' First Editions® Iceberg Alley®</v>
      </c>
      <c r="B90" s="32" t="s">
        <v>22</v>
      </c>
      <c r="C90" s="32"/>
      <c r="D90" s="33">
        <v>29.5</v>
      </c>
      <c r="E90" s="34"/>
      <c r="F90" s="35">
        <v>80</v>
      </c>
      <c r="G90" s="32">
        <v>0</v>
      </c>
      <c r="H90" s="37">
        <v>0</v>
      </c>
      <c r="I90" s="38">
        <f t="shared" si="1"/>
        <v>0</v>
      </c>
    </row>
    <row r="91" spans="1:9" ht="10.199999999999999" customHeight="1" x14ac:dyDescent="0.3">
      <c r="A91" s="32" t="str">
        <f>HYPERLINK("http://avail.sbinursery.com/LiveInventoryDetail.aspx?CustomerID=954&amp;intItemKey=637&amp;ProductID=SPIBTORNO05&amp;wWidth=700&amp;wHeight=510&amp;intHort=0&amp;imgProID=SPIBTORNO05&amp;strUserType=Live","Spiraea betulifolia 'Tor'")</f>
        <v>Spiraea betulifolia 'Tor'</v>
      </c>
      <c r="B91" s="32" t="s">
        <v>24</v>
      </c>
      <c r="C91" s="32"/>
      <c r="D91" s="33">
        <v>28</v>
      </c>
      <c r="E91" s="34"/>
      <c r="F91" s="35">
        <v>35</v>
      </c>
      <c r="G91" s="32">
        <v>191</v>
      </c>
      <c r="H91" s="37">
        <v>0</v>
      </c>
      <c r="I91" s="38">
        <f t="shared" si="1"/>
        <v>0</v>
      </c>
    </row>
    <row r="92" spans="1:9" ht="10.199999999999999" customHeight="1" x14ac:dyDescent="0.3">
      <c r="A92" s="32" t="str">
        <f>HYPERLINK("http://avail.sbinursery.com/LiveInventoryDetail.aspx?CustomerID=954&amp;intItemKey=642&amp;ProductID=SPIJFLANO03&amp;wWidth=700&amp;wHeight=510&amp;intHort=0&amp;imgProID=SPIJFLANO03&amp;strUserType=Live","Spiraea japonica 'Neon Flash'")</f>
        <v>Spiraea japonica 'Neon Flash'</v>
      </c>
      <c r="B92" s="32" t="s">
        <v>22</v>
      </c>
      <c r="C92" s="32"/>
      <c r="D92" s="33">
        <v>18.5</v>
      </c>
      <c r="E92" s="34"/>
      <c r="F92" s="35">
        <v>348</v>
      </c>
      <c r="G92" s="32">
        <v>0</v>
      </c>
      <c r="H92" s="37">
        <v>0</v>
      </c>
      <c r="I92" s="38">
        <f t="shared" si="1"/>
        <v>0</v>
      </c>
    </row>
    <row r="93" spans="1:9" ht="10.199999999999999" customHeight="1" x14ac:dyDescent="0.3">
      <c r="A93" s="32" t="str">
        <f>HYPERLINK("http://avail.sbinursery.com/LiveInventoryDetail.aspx?CustomerID=954&amp;intItemKey=645&amp;ProductID=SPINSNONO03&amp;wWidth=700&amp;wHeight=510&amp;intHort=0&amp;imgProID=SPINSNONO03&amp;strUserType=Live","Spiraea nipponica 'Snowmound'")</f>
        <v>Spiraea nipponica 'Snowmound'</v>
      </c>
      <c r="B93" s="32" t="s">
        <v>22</v>
      </c>
      <c r="C93" s="32"/>
      <c r="D93" s="33">
        <v>17.5</v>
      </c>
      <c r="E93" s="34"/>
      <c r="F93" s="35">
        <v>179</v>
      </c>
      <c r="G93" s="32">
        <v>0</v>
      </c>
      <c r="H93" s="37">
        <v>0</v>
      </c>
      <c r="I93" s="38">
        <f t="shared" si="1"/>
        <v>0</v>
      </c>
    </row>
    <row r="94" spans="1:9" ht="10.199999999999999" customHeight="1" x14ac:dyDescent="0.3">
      <c r="A94" s="32" t="str">
        <f>HYPERLINK("http://avail.sbinursery.com/LiveInventoryDetail.aspx?CustomerID=954&amp;intItemKey=650&amp;ProductID=SPIVRENNO03&amp;wWidth=700&amp;wHeight=510&amp;intHort=0&amp;imgProID=SPIVRENNO03&amp;strUserType=Live","Spiraea x 'Renaissance'")</f>
        <v>Spiraea x 'Renaissance'</v>
      </c>
      <c r="B94" s="32" t="s">
        <v>22</v>
      </c>
      <c r="C94" s="32"/>
      <c r="D94" s="33">
        <v>19.5</v>
      </c>
      <c r="E94" s="34"/>
      <c r="F94" s="35">
        <v>25</v>
      </c>
      <c r="G94" s="32">
        <v>0</v>
      </c>
      <c r="H94" s="37">
        <v>0</v>
      </c>
      <c r="I94" s="38">
        <f t="shared" si="1"/>
        <v>0</v>
      </c>
    </row>
    <row r="95" spans="1:9" ht="10.199999999999999" customHeight="1" x14ac:dyDescent="0.3">
      <c r="A95" s="32" t="str">
        <f>HYPERLINK("http://avail.sbinursery.com/LiveInventoryDetail.aspx?CustomerID=954&amp;intItemKey=650&amp;ProductID=SPIVRENNO05&amp;wWidth=700&amp;wHeight=510&amp;intHort=0&amp;imgProID=SPIVRENNO05&amp;strUserType=Live","Spiraea x 'Renaissance'")</f>
        <v>Spiraea x 'Renaissance'</v>
      </c>
      <c r="B95" s="32" t="s">
        <v>24</v>
      </c>
      <c r="C95" s="32"/>
      <c r="D95" s="33">
        <v>25</v>
      </c>
      <c r="E95" s="34"/>
      <c r="F95" s="35">
        <v>0</v>
      </c>
      <c r="G95" s="32">
        <v>102</v>
      </c>
      <c r="H95" s="37">
        <v>0</v>
      </c>
      <c r="I95" s="38">
        <f t="shared" si="1"/>
        <v>0</v>
      </c>
    </row>
    <row r="96" spans="1:9" ht="10.199999999999999" customHeight="1" x14ac:dyDescent="0.3">
      <c r="A96" s="32" t="str">
        <f>HYPERLINK("http://avail.sbinursery.com/LiveInventoryDetail.aspx?CustomerID=954&amp;intItemKey=653&amp;ProductID=STEICRINO03&amp;wWidth=700&amp;wHeight=510&amp;intHort=0&amp;imgProID=STEICRINO03&amp;strUserType=Live","Stephanandra incisa 'Crispa'")</f>
        <v>Stephanandra incisa 'Crispa'</v>
      </c>
      <c r="B96" s="32" t="s">
        <v>22</v>
      </c>
      <c r="C96" s="32"/>
      <c r="D96" s="33">
        <v>26</v>
      </c>
      <c r="E96" s="34"/>
      <c r="F96" s="35">
        <v>195</v>
      </c>
      <c r="G96" s="32">
        <v>0</v>
      </c>
      <c r="H96" s="37">
        <v>0</v>
      </c>
      <c r="I96" s="38">
        <f t="shared" si="1"/>
        <v>0</v>
      </c>
    </row>
    <row r="97" spans="1:9" ht="10.199999999999999" customHeight="1" x14ac:dyDescent="0.3">
      <c r="A97" s="32" t="str">
        <f>HYPERLINK("http://avail.sbinursery.com/LiveInventoryDetail.aspx?CustomerID=954&amp;intItemKey=853&amp;ProductID=SYRMPALNO05&amp;wWidth=700&amp;wHeight=510&amp;intHort=0&amp;imgProID=SYRMPALNO05&amp;strUserType=Live","Syringa meyeri 'Palibin'")</f>
        <v>Syringa meyeri 'Palibin'</v>
      </c>
      <c r="B97" s="32" t="s">
        <v>24</v>
      </c>
      <c r="C97" s="32"/>
      <c r="D97" s="33">
        <v>39</v>
      </c>
      <c r="E97" s="34"/>
      <c r="F97" s="35">
        <v>89</v>
      </c>
      <c r="G97" s="32">
        <v>0</v>
      </c>
      <c r="H97" s="37">
        <v>0</v>
      </c>
      <c r="I97" s="38">
        <f t="shared" si="1"/>
        <v>0</v>
      </c>
    </row>
    <row r="98" spans="1:9" ht="10.199999999999999" customHeight="1" x14ac:dyDescent="0.3">
      <c r="A98" s="32" t="str">
        <f>HYPERLINK("http://avail.sbinursery.com/LiveInventoryDetail.aspx?CustomerID=954&amp;intItemKey=853&amp;ProductID=SYRMPALNO07&amp;wWidth=700&amp;wHeight=510&amp;intHort=0&amp;imgProID=SYRMPALNO07&amp;strUserType=Live","Syringa meyeri 'Palibin'")</f>
        <v>Syringa meyeri 'Palibin'</v>
      </c>
      <c r="B98" s="32" t="s">
        <v>27</v>
      </c>
      <c r="C98" s="32"/>
      <c r="D98" s="33">
        <v>46</v>
      </c>
      <c r="E98" s="34"/>
      <c r="F98" s="35">
        <v>146</v>
      </c>
      <c r="G98" s="32">
        <v>5</v>
      </c>
      <c r="H98" s="37">
        <v>0</v>
      </c>
      <c r="I98" s="38">
        <f t="shared" si="1"/>
        <v>0</v>
      </c>
    </row>
    <row r="99" spans="1:9" ht="10.199999999999999" customHeight="1" x14ac:dyDescent="0.3">
      <c r="A99" s="32" t="str">
        <f>HYPERLINK("http://avail.sbinursery.com/LiveInventoryDetail.aspx?CustomerID=954&amp;intItemKey=659&amp;ProductID=SYRPKIMNO03&amp;wWidth=700&amp;wHeight=510&amp;intHort=0&amp;imgProID=SYRPKIMNO03&amp;strUserType=Live","Syringa p. s. p. 'Miss Kim'")</f>
        <v>Syringa p. s. p. 'Miss Kim'</v>
      </c>
      <c r="B99" s="32" t="s">
        <v>22</v>
      </c>
      <c r="C99" s="32"/>
      <c r="D99" s="33">
        <v>23</v>
      </c>
      <c r="E99" s="34"/>
      <c r="F99" s="35">
        <v>0</v>
      </c>
      <c r="G99" s="32">
        <v>577</v>
      </c>
      <c r="H99" s="37">
        <v>0</v>
      </c>
      <c r="I99" s="38">
        <f t="shared" si="1"/>
        <v>0</v>
      </c>
    </row>
    <row r="100" spans="1:9" ht="10.199999999999999" customHeight="1" x14ac:dyDescent="0.3">
      <c r="A100" s="32" t="str">
        <f>HYPERLINK("http://avail.sbinursery.com/LiveInventoryDetail.aspx?CustomerID=954&amp;intItemKey=659&amp;ProductID=SYRPKIMNO05&amp;wWidth=700&amp;wHeight=510&amp;intHort=0&amp;imgProID=SYRPKIMNO05&amp;strUserType=Live","Syringa p. s. p. 'Miss Kim'")</f>
        <v>Syringa p. s. p. 'Miss Kim'</v>
      </c>
      <c r="B100" s="32" t="s">
        <v>24</v>
      </c>
      <c r="C100" s="32"/>
      <c r="D100" s="33">
        <v>35</v>
      </c>
      <c r="E100" s="34"/>
      <c r="F100" s="35">
        <v>92</v>
      </c>
      <c r="G100" s="32">
        <v>744</v>
      </c>
      <c r="H100" s="37">
        <v>0</v>
      </c>
      <c r="I100" s="38">
        <f t="shared" si="1"/>
        <v>0</v>
      </c>
    </row>
    <row r="101" spans="1:9" ht="10.199999999999999" customHeight="1" x14ac:dyDescent="0.3">
      <c r="A101" s="32" t="str">
        <f>HYPERLINK("http://avail.sbinursery.com/LiveInventoryDetail.aspx?CustomerID=954&amp;intItemKey=659&amp;ProductID=SYRPKIMNO07&amp;wWidth=700&amp;wHeight=510&amp;intHort=0&amp;imgProID=SYRPKIMNO07&amp;strUserType=Live","Syringa p. s. p. 'Miss Kim'")</f>
        <v>Syringa p. s. p. 'Miss Kim'</v>
      </c>
      <c r="B101" s="32" t="s">
        <v>27</v>
      </c>
      <c r="C101" s="32"/>
      <c r="D101" s="33">
        <v>46</v>
      </c>
      <c r="E101" s="34"/>
      <c r="F101" s="35">
        <v>0</v>
      </c>
      <c r="G101" s="32">
        <v>47</v>
      </c>
      <c r="H101" s="37">
        <v>0</v>
      </c>
      <c r="I101" s="38">
        <f t="shared" si="1"/>
        <v>0</v>
      </c>
    </row>
    <row r="102" spans="1:9" ht="10.199999999999999" customHeight="1" x14ac:dyDescent="0.3">
      <c r="A102" s="32" t="str">
        <f>HYPERLINK("http://avail.sbinursery.com/LiveInventoryDetail.aspx?CustomerID=954&amp;intItemKey=2035&amp;ProductID=SYRXLITNO03&amp;wWidth=700&amp;wHeight=510&amp;intHort=0&amp;imgProID=0&amp;strUserType=Live","Syringa x 'Jeflady' PP30331 Little Lady™")</f>
        <v>Syringa x 'Jeflady' PP30331 Little Lady™</v>
      </c>
      <c r="B102" s="32" t="s">
        <v>22</v>
      </c>
      <c r="C102" s="32"/>
      <c r="D102" s="33">
        <v>27</v>
      </c>
      <c r="E102" s="34"/>
      <c r="F102" s="35">
        <v>0</v>
      </c>
      <c r="G102" s="32">
        <v>144</v>
      </c>
      <c r="H102" s="37">
        <v>0</v>
      </c>
      <c r="I102" s="38">
        <f t="shared" si="1"/>
        <v>0</v>
      </c>
    </row>
    <row r="103" spans="1:9" ht="10.199999999999999" customHeight="1" x14ac:dyDescent="0.3">
      <c r="A103" s="32" t="str">
        <f>HYPERLINK("http://avail.sbinursery.com/LiveInventoryDetail.aspx?CustomerID=954&amp;intItemKey=730&amp;ProductID=VIBCARLNO03&amp;wWidth=700&amp;wHeight=510&amp;intHort=0&amp;imgProID=VIBCARLNO03&amp;strUserType=Live","Viburnum carlesii")</f>
        <v>Viburnum carlesii</v>
      </c>
      <c r="B103" s="32" t="s">
        <v>22</v>
      </c>
      <c r="C103" s="32"/>
      <c r="D103" s="33">
        <v>25</v>
      </c>
      <c r="E103" s="34"/>
      <c r="F103" s="35">
        <v>115</v>
      </c>
      <c r="G103" s="32">
        <v>422</v>
      </c>
      <c r="H103" s="37">
        <v>0</v>
      </c>
      <c r="I103" s="38">
        <f t="shared" si="1"/>
        <v>0</v>
      </c>
    </row>
    <row r="104" spans="1:9" ht="10.199999999999999" customHeight="1" x14ac:dyDescent="0.3">
      <c r="A104" s="32" t="str">
        <f>HYPERLINK("http://avail.sbinursery.com/LiveInventoryDetail.aspx?CustomerID=954&amp;intItemKey=733&amp;ProductID=VIBDBBLUNO05&amp;wWidth=700&amp;wHeight=510&amp;intHort=0&amp;imgProID=VIBDBBLUNO05&amp;strUserType=Live","Viburnum dentatum 'Blubzam' Blue Blaze™")</f>
        <v>Viburnum dentatum 'Blubzam' Blue Blaze™</v>
      </c>
      <c r="B104" s="32" t="s">
        <v>24</v>
      </c>
      <c r="C104" s="32"/>
      <c r="D104" s="33">
        <v>29</v>
      </c>
      <c r="E104" s="34"/>
      <c r="F104" s="35">
        <v>15</v>
      </c>
      <c r="G104" s="32">
        <v>0</v>
      </c>
      <c r="H104" s="37">
        <v>0</v>
      </c>
      <c r="I104" s="38">
        <f t="shared" si="1"/>
        <v>0</v>
      </c>
    </row>
    <row r="105" spans="1:9" ht="10.199999999999999" customHeight="1" x14ac:dyDescent="0.3">
      <c r="A105" s="32" t="str">
        <f>HYPERLINK("http://avail.sbinursery.com/LiveInventoryDetail.aspx?CustomerID=954&amp;intItemKey=731&amp;ProductID=VIBDLUSNO05&amp;wWidth=700&amp;wHeight=510&amp;intHort=0&amp;imgProID=VIBDLUSNO05&amp;strUserType=Live","Viburnum dentatum 'Synnestvedt' Chicago Lustre®")</f>
        <v>Viburnum dentatum 'Synnestvedt' Chicago Lustre®</v>
      </c>
      <c r="B105" s="32" t="s">
        <v>24</v>
      </c>
      <c r="C105" s="32"/>
      <c r="D105" s="33">
        <v>28</v>
      </c>
      <c r="E105" s="34"/>
      <c r="F105" s="35">
        <v>0</v>
      </c>
      <c r="G105" s="32">
        <v>200</v>
      </c>
      <c r="H105" s="37">
        <v>0</v>
      </c>
      <c r="I105" s="38">
        <f t="shared" si="1"/>
        <v>0</v>
      </c>
    </row>
    <row r="106" spans="1:9" ht="10.199999999999999" customHeight="1" x14ac:dyDescent="0.3">
      <c r="A106" s="32" t="str">
        <f>HYPERLINK("http://avail.sbinursery.com/LiveInventoryDetail.aspx?CustomerID=954&amp;intItemKey=731&amp;ProductID=VIBDLUSNO07&amp;wWidth=700&amp;wHeight=510&amp;intHort=0&amp;imgProID=VIBDLUSNO07&amp;strUserType=Live","Viburnum dentatum 'Synnestvedt' Chicago Lustre®")</f>
        <v>Viburnum dentatum 'Synnestvedt' Chicago Lustre®</v>
      </c>
      <c r="B106" s="32" t="s">
        <v>27</v>
      </c>
      <c r="C106" s="32"/>
      <c r="D106" s="33">
        <v>46</v>
      </c>
      <c r="E106" s="34"/>
      <c r="F106" s="35">
        <v>15</v>
      </c>
      <c r="G106" s="32">
        <v>0</v>
      </c>
      <c r="H106" s="37">
        <v>0</v>
      </c>
      <c r="I106" s="38">
        <f t="shared" si="1"/>
        <v>0</v>
      </c>
    </row>
    <row r="107" spans="1:9" ht="10.199999999999999" customHeight="1" x14ac:dyDescent="0.3">
      <c r="A107" s="32" t="str">
        <f>HYPERLINK("http://avail.sbinursery.com/LiveInventoryDetail.aspx?CustomerID=954&amp;intItemKey=1685&amp;ProductID=VIBDMUFNO03&amp;wWidth=700&amp;wHeight=510&amp;intHort=0&amp;imgProID=VIBDMUFNO03&amp;strUserType=Live","Viburnum d. 'Christom'  Blue Muffin® Arrowood Viburnum")</f>
        <v>Viburnum d. 'Christom'  Blue Muffin® Arrowood Viburnum</v>
      </c>
      <c r="B107" s="32" t="s">
        <v>22</v>
      </c>
      <c r="C107" s="32"/>
      <c r="D107" s="33">
        <v>28.5</v>
      </c>
      <c r="E107" s="34"/>
      <c r="F107" s="35">
        <v>5</v>
      </c>
      <c r="G107" s="32">
        <v>162</v>
      </c>
      <c r="H107" s="37">
        <v>0</v>
      </c>
      <c r="I107" s="38">
        <f t="shared" si="1"/>
        <v>0</v>
      </c>
    </row>
    <row r="108" spans="1:9" ht="10.199999999999999" customHeight="1" x14ac:dyDescent="0.3">
      <c r="A108" s="32" t="str">
        <f>HYPERLINK("http://avail.sbinursery.com/LiveInventoryDetail.aspx?CustomerID=954&amp;intItemKey=1685&amp;ProductID=VIBDMUFNO05&amp;wWidth=700&amp;wHeight=510&amp;intHort=0&amp;imgProID=VIBDMUFNO05&amp;strUserType=Live","Viburnum d. 'Christom'  Blue Muffin® Arrowood Viburnum")</f>
        <v>Viburnum d. 'Christom'  Blue Muffin® Arrowood Viburnum</v>
      </c>
      <c r="B108" s="32" t="s">
        <v>24</v>
      </c>
      <c r="C108" s="32"/>
      <c r="D108" s="33">
        <v>39</v>
      </c>
      <c r="E108" s="34"/>
      <c r="F108" s="35">
        <v>2</v>
      </c>
      <c r="G108" s="32">
        <v>0</v>
      </c>
      <c r="H108" s="37">
        <v>0</v>
      </c>
      <c r="I108" s="38">
        <f t="shared" si="1"/>
        <v>0</v>
      </c>
    </row>
    <row r="109" spans="1:9" ht="10.199999999999999" customHeight="1" x14ac:dyDescent="0.3">
      <c r="A109" s="32" t="str">
        <f>HYPERLINK("http://avail.sbinursery.com/LiveInventoryDetail.aspx?CustomerID=954&amp;intItemKey=735&amp;ProductID=VIBDRASNO05&amp;wWidth=700&amp;wHeight=510&amp;intHort=0&amp;imgProID=VIBDRASNO05&amp;strUserType=Live","Viburnum dentatum 'Rastzam' Raspberry Tart™")</f>
        <v>Viburnum dentatum 'Rastzam' Raspberry Tart™</v>
      </c>
      <c r="B109" s="32" t="s">
        <v>24</v>
      </c>
      <c r="C109" s="32"/>
      <c r="D109" s="33">
        <v>29</v>
      </c>
      <c r="E109" s="34"/>
      <c r="F109" s="35">
        <v>0</v>
      </c>
      <c r="G109" s="32">
        <v>67</v>
      </c>
      <c r="H109" s="37">
        <v>0</v>
      </c>
      <c r="I109" s="38">
        <f t="shared" si="1"/>
        <v>0</v>
      </c>
    </row>
    <row r="110" spans="1:9" ht="10.199999999999999" customHeight="1" x14ac:dyDescent="0.3">
      <c r="A110" s="32" t="str">
        <f>HYPERLINK("http://avail.sbinursery.com/LiveInventoryDetail.aspx?CustomerID=954&amp;intItemKey=757&amp;ProductID=VIBJUDDNO03&amp;wWidth=700&amp;wHeight=510&amp;intHort=0&amp;imgProID=VIBJUDDNO03&amp;strUserType=Live","Viburnum x juddii")</f>
        <v>Viburnum x juddii</v>
      </c>
      <c r="B110" s="32" t="s">
        <v>22</v>
      </c>
      <c r="C110" s="32"/>
      <c r="D110" s="33">
        <v>24</v>
      </c>
      <c r="E110" s="34"/>
      <c r="F110" s="35">
        <v>13</v>
      </c>
      <c r="G110" s="32">
        <v>160</v>
      </c>
      <c r="H110" s="37">
        <v>0</v>
      </c>
      <c r="I110" s="38">
        <f t="shared" si="1"/>
        <v>0</v>
      </c>
    </row>
    <row r="111" spans="1:9" ht="10.199999999999999" customHeight="1" x14ac:dyDescent="0.3">
      <c r="A111" s="32" t="str">
        <f>HYPERLINK("http://avail.sbinursery.com/LiveInventoryDetail.aspx?CustomerID=954&amp;intItemKey=1886&amp;ProductID=VIBNWINNO05&amp;wWidth=700&amp;wHeight=510&amp;intHort=0&amp;imgProID=VIBNWINNO05&amp;strUserType=Live","Viburnum nudum 'Winterthur'")</f>
        <v>Viburnum nudum 'Winterthur'</v>
      </c>
      <c r="B111" s="32" t="s">
        <v>24</v>
      </c>
      <c r="C111" s="32"/>
      <c r="D111" s="33">
        <v>32</v>
      </c>
      <c r="E111" s="34"/>
      <c r="F111" s="35">
        <v>32</v>
      </c>
      <c r="G111" s="32">
        <v>160</v>
      </c>
      <c r="H111" s="37">
        <v>0</v>
      </c>
      <c r="I111" s="38">
        <f t="shared" si="1"/>
        <v>0</v>
      </c>
    </row>
    <row r="112" spans="1:9" ht="10.199999999999999" customHeight="1" x14ac:dyDescent="0.3">
      <c r="A112" s="32" t="str">
        <f>HYPERLINK("http://avail.sbinursery.com/LiveInventoryDetail.aspx?CustomerID=954&amp;intItemKey=743&amp;ProductID=VIBPNEWNO05&amp;wWidth=700&amp;wHeight=510&amp;intHort=0&amp;imgProID=VIBPNEWNO05&amp;strUserType=Live","Viburnum plicatum 'Newzam' Newport®")</f>
        <v>Viburnum plicatum 'Newzam' Newport®</v>
      </c>
      <c r="B112" s="32" t="s">
        <v>24</v>
      </c>
      <c r="C112" s="32"/>
      <c r="D112" s="33">
        <v>28</v>
      </c>
      <c r="E112" s="34"/>
      <c r="F112" s="35">
        <v>56</v>
      </c>
      <c r="G112" s="32">
        <v>144</v>
      </c>
      <c r="H112" s="37">
        <v>0</v>
      </c>
      <c r="I112" s="38">
        <f t="shared" si="1"/>
        <v>0</v>
      </c>
    </row>
    <row r="113" spans="1:9" ht="10.199999999999999" customHeight="1" x14ac:dyDescent="0.3">
      <c r="A113" s="32" t="str">
        <f>HYPERLINK("http://avail.sbinursery.com/LiveInventoryDetail.aspx?CustomerID=954&amp;intItemKey=759&amp;ProductID=VIBRALLNO05&amp;wWidth=700&amp;wHeight=510&amp;intHort=0&amp;imgProID=VIBRALLNO05&amp;strUserType=Live","Viburnum x 'Alleghany'")</f>
        <v>Viburnum x 'Alleghany'</v>
      </c>
      <c r="B113" s="32" t="s">
        <v>24</v>
      </c>
      <c r="C113" s="32"/>
      <c r="D113" s="33">
        <v>34</v>
      </c>
      <c r="E113" s="34"/>
      <c r="F113" s="35">
        <v>271</v>
      </c>
      <c r="G113" s="32">
        <v>124</v>
      </c>
      <c r="H113" s="37">
        <v>0</v>
      </c>
      <c r="I113" s="38">
        <f t="shared" si="1"/>
        <v>0</v>
      </c>
    </row>
    <row r="114" spans="1:9" ht="10.199999999999999" customHeight="1" x14ac:dyDescent="0.3">
      <c r="A114" s="32" t="str">
        <f>HYPERLINK("http://avail.sbinursery.com/LiveInventoryDetail.aspx?CustomerID=954&amp;intItemKey=759&amp;ProductID=VIBRALLNO07&amp;wWidth=700&amp;wHeight=510&amp;intHort=0&amp;imgProID=VIBRALLNO07&amp;strUserType=Live","Viburnum x 'Alleghany'")</f>
        <v>Viburnum x 'Alleghany'</v>
      </c>
      <c r="B114" s="32" t="s">
        <v>27</v>
      </c>
      <c r="C114" s="32"/>
      <c r="D114" s="33">
        <v>48</v>
      </c>
      <c r="E114" s="34"/>
      <c r="F114" s="35">
        <v>7</v>
      </c>
      <c r="G114" s="32">
        <v>51</v>
      </c>
      <c r="H114" s="37">
        <v>0</v>
      </c>
      <c r="I114" s="38">
        <f t="shared" si="1"/>
        <v>0</v>
      </c>
    </row>
    <row r="115" spans="1:9" ht="10.199999999999999" customHeight="1" x14ac:dyDescent="0.3">
      <c r="A115" s="32" t="str">
        <f>HYPERLINK("http://avail.sbinursery.com/LiveInventoryDetail.aspx?CustomerID=954&amp;intItemKey=752&amp;ProductID=VIBTCOMNO05&amp;wWidth=700&amp;wHeight=510&amp;intHort=0&amp;imgProID=VIBTCOMNO05&amp;strUserType=Live","Viburnum trilobum 'Bailey Compact'")</f>
        <v>Viburnum trilobum 'Bailey Compact'</v>
      </c>
      <c r="B115" s="32" t="s">
        <v>24</v>
      </c>
      <c r="C115" s="32"/>
      <c r="D115" s="33">
        <v>36</v>
      </c>
      <c r="E115" s="34"/>
      <c r="F115" s="35">
        <v>7</v>
      </c>
      <c r="G115" s="32">
        <v>0</v>
      </c>
      <c r="H115" s="37">
        <v>0</v>
      </c>
      <c r="I115" s="38">
        <f t="shared" si="1"/>
        <v>0</v>
      </c>
    </row>
    <row r="116" spans="1:9" ht="10.199999999999999" customHeight="1" x14ac:dyDescent="0.3">
      <c r="A116" s="32" t="str">
        <f>HYPERLINK("http://avail.sbinursery.com/LiveInventoryDetail.aspx?CustomerID=954&amp;intItemKey=1863&amp;ProductID=VIBXPRANO05&amp;wWidth=700&amp;wHeight=510&amp;intHort=0&amp;imgProID=VIBXPRANO05&amp;strUserType=Live","Viburnum x pragense")</f>
        <v>Viburnum x pragense</v>
      </c>
      <c r="B116" s="32" t="s">
        <v>24</v>
      </c>
      <c r="C116" s="32"/>
      <c r="D116" s="33">
        <v>34</v>
      </c>
      <c r="E116" s="34"/>
      <c r="F116" s="35">
        <v>183</v>
      </c>
      <c r="G116" s="32">
        <v>0</v>
      </c>
      <c r="H116" s="37">
        <v>0</v>
      </c>
      <c r="I116" s="38">
        <f t="shared" ref="I116:I118" si="2">PRODUCT(D116,H116)</f>
        <v>0</v>
      </c>
    </row>
    <row r="117" spans="1:9" ht="10.199999999999999" customHeight="1" x14ac:dyDescent="0.3">
      <c r="A117" s="32" t="str">
        <f>HYPERLINK("http://avail.sbinursery.com/LiveInventoryDetail.aspx?CustomerID=954&amp;intItemKey=761&amp;ProductID=WEIFROSNO03&amp;wWidth=700&amp;wHeight=510&amp;intHort=0&amp;imgProID=WEIFROSNO03&amp;strUserType=Live","Weigela f. 'Alexandra' PP10772 Wine &amp; Roses® Weigela")</f>
        <v>Weigela f. 'Alexandra' PP10772 Wine &amp; Roses® Weigela</v>
      </c>
      <c r="B117" s="32" t="s">
        <v>22</v>
      </c>
      <c r="C117" s="32"/>
      <c r="D117" s="33">
        <v>28</v>
      </c>
      <c r="E117" s="34"/>
      <c r="F117" s="35">
        <v>181</v>
      </c>
      <c r="G117" s="32">
        <v>0</v>
      </c>
      <c r="H117" s="37">
        <v>0</v>
      </c>
      <c r="I117" s="38">
        <f t="shared" si="2"/>
        <v>0</v>
      </c>
    </row>
    <row r="118" spans="1:9" ht="10.199999999999999" customHeight="1" x14ac:dyDescent="0.3">
      <c r="A118" s="32" t="str">
        <f>HYPERLINK("http://avail.sbinursery.com/LiveInventoryDetail.aspx?CustomerID=954&amp;intItemKey=1469&amp;ProductID=WEIFSPINO03&amp;wWidth=700&amp;wHeight=510&amp;intHort=0&amp;imgProID=WEIFSPINO03&amp;strUserType=Live","Weigela f. 'Bokraspiwi' PP23781 Spilled Wine® Weigela")</f>
        <v>Weigela f. 'Bokraspiwi' PP23781 Spilled Wine® Weigela</v>
      </c>
      <c r="B118" s="32" t="s">
        <v>22</v>
      </c>
      <c r="C118" s="32"/>
      <c r="D118" s="33">
        <v>28</v>
      </c>
      <c r="E118" s="34"/>
      <c r="F118" s="35">
        <v>216</v>
      </c>
      <c r="G118" s="32">
        <v>0</v>
      </c>
      <c r="H118" s="37">
        <v>0</v>
      </c>
      <c r="I118" s="38">
        <f t="shared" si="2"/>
        <v>0</v>
      </c>
    </row>
    <row r="119" spans="1:9" ht="18" x14ac:dyDescent="0.3">
      <c r="A119" s="26" t="s">
        <v>28</v>
      </c>
      <c r="B119" s="27"/>
      <c r="C119" s="28"/>
      <c r="D119" s="29"/>
      <c r="E119" s="28"/>
      <c r="F119" s="30"/>
      <c r="G119" s="30"/>
      <c r="H119" s="31"/>
    </row>
    <row r="120" spans="1:9" ht="10.199999999999999" customHeight="1" x14ac:dyDescent="0.3">
      <c r="A120" s="32" t="str">
        <f>HYPERLINK("http://avail.sbinursery.com/LiveInventoryDetail.aspx?CustomerID=954&amp;intItemKey=120&amp;ProductID=BUXGGEMNO03&amp;wWidth=700&amp;wHeight=510&amp;intHort=0&amp;imgProID=BUXGGEMNO03&amp;strUserType=Live","Buxus x 'Green Gem'")</f>
        <v>Buxus x 'Green Gem'</v>
      </c>
      <c r="B120" s="32" t="s">
        <v>22</v>
      </c>
      <c r="C120" s="32"/>
      <c r="D120" s="33">
        <v>25</v>
      </c>
      <c r="E120" s="34"/>
      <c r="F120" s="35">
        <v>180</v>
      </c>
      <c r="G120" s="32">
        <v>2841</v>
      </c>
      <c r="H120" s="37">
        <v>0</v>
      </c>
      <c r="I120" s="38">
        <f t="shared" ref="I120:I169" si="3">PRODUCT(D120,H120)</f>
        <v>0</v>
      </c>
    </row>
    <row r="121" spans="1:9" ht="10.199999999999999" customHeight="1" x14ac:dyDescent="0.3">
      <c r="A121" s="32" t="str">
        <f>HYPERLINK("http://avail.sbinursery.com/LiveInventoryDetail.aspx?CustomerID=954&amp;intItemKey=121&amp;ProductID=BUXGMOUNO03&amp;wWidth=700&amp;wHeight=510&amp;intHort=0&amp;imgProID=BUXGMOUNO03&amp;strUserType=Live","Buxus x 'Green Mountain'")</f>
        <v>Buxus x 'Green Mountain'</v>
      </c>
      <c r="B121" s="32" t="s">
        <v>22</v>
      </c>
      <c r="C121" s="32"/>
      <c r="D121" s="33">
        <v>25</v>
      </c>
      <c r="E121" s="34"/>
      <c r="F121" s="35">
        <v>388</v>
      </c>
      <c r="G121" s="32">
        <v>1981</v>
      </c>
      <c r="H121" s="37">
        <v>0</v>
      </c>
      <c r="I121" s="38">
        <f t="shared" si="3"/>
        <v>0</v>
      </c>
    </row>
    <row r="122" spans="1:9" ht="10.199999999999999" customHeight="1" x14ac:dyDescent="0.3">
      <c r="A122" s="32" t="str">
        <f>HYPERLINK("http://avail.sbinursery.com/LiveInventoryDetail.aspx?CustomerID=954&amp;intItemKey=121&amp;ProductID=BUXGMOUNO07&amp;wWidth=700&amp;wHeight=510&amp;intHort=0&amp;imgProID=0&amp;strUserType=Live","Buxus x 'Green Mountain'")</f>
        <v>Buxus x 'Green Mountain'</v>
      </c>
      <c r="B122" s="32" t="s">
        <v>27</v>
      </c>
      <c r="C122" s="32"/>
      <c r="D122" s="33">
        <v>65</v>
      </c>
      <c r="E122" s="34"/>
      <c r="F122" s="35">
        <v>11</v>
      </c>
      <c r="G122" s="32">
        <v>0</v>
      </c>
      <c r="H122" s="37">
        <v>0</v>
      </c>
      <c r="I122" s="38">
        <f t="shared" si="3"/>
        <v>0</v>
      </c>
    </row>
    <row r="123" spans="1:9" ht="10.199999999999999" customHeight="1" x14ac:dyDescent="0.3">
      <c r="A123" s="32" t="str">
        <f>HYPERLINK("http://avail.sbinursery.com/LiveInventoryDetail.aspx?CustomerID=954&amp;intItemKey=1845&amp;ProductID=BUXGMOUNO07P&amp;wWidth=700&amp;wHeight=510&amp;intHort=0&amp;imgProID=0&amp;strUserType=Live","Buxus x 'Green Mountain' PYRAMID")</f>
        <v>Buxus x 'Green Mountain' PYRAMID</v>
      </c>
      <c r="B123" s="32" t="s">
        <v>29</v>
      </c>
      <c r="C123" s="32"/>
      <c r="D123" s="33">
        <v>92</v>
      </c>
      <c r="E123" s="34"/>
      <c r="F123" s="35">
        <v>78</v>
      </c>
      <c r="G123" s="32">
        <v>38</v>
      </c>
      <c r="H123" s="37">
        <v>0</v>
      </c>
      <c r="I123" s="38">
        <f t="shared" si="3"/>
        <v>0</v>
      </c>
    </row>
    <row r="124" spans="1:9" ht="10.199999999999999" customHeight="1" x14ac:dyDescent="0.3">
      <c r="A124" s="32" t="str">
        <f>HYPERLINK("http://avail.sbinursery.com/LiveInventoryDetail.aspx?CustomerID=954&amp;intItemKey=117&amp;ProductID=BUXSVALNO03&amp;wWidth=700&amp;wHeight=510&amp;intHort=0&amp;imgProID=0&amp;strUserType=Live","Buxus s. 'Vardar Valley'")</f>
        <v>Buxus s. 'Vardar Valley'</v>
      </c>
      <c r="B124" s="32" t="s">
        <v>22</v>
      </c>
      <c r="C124" s="32"/>
      <c r="D124" s="33">
        <v>26</v>
      </c>
      <c r="E124" s="34"/>
      <c r="F124" s="35">
        <v>0</v>
      </c>
      <c r="G124" s="32">
        <v>452</v>
      </c>
      <c r="H124" s="37">
        <v>0</v>
      </c>
      <c r="I124" s="38">
        <f t="shared" si="3"/>
        <v>0</v>
      </c>
    </row>
    <row r="125" spans="1:9" ht="10.199999999999999" customHeight="1" x14ac:dyDescent="0.3">
      <c r="A125" s="32" t="str">
        <f>HYPERLINK("http://avail.sbinursery.com/LiveInventoryDetail.aspx?CustomerID=954&amp;intItemKey=1770&amp;ProductID=BUXSWEENO03&amp;wWidth=700&amp;wHeight=510&amp;intHort=0&amp;imgProID=BUXSWEENO03&amp;strUserType=Live","Buxus s. v. i. Wee Willie™ PP17007")</f>
        <v>Buxus s. v. i. Wee Willie™ PP17007</v>
      </c>
      <c r="B125" s="32" t="s">
        <v>22</v>
      </c>
      <c r="C125" s="32"/>
      <c r="D125" s="33">
        <v>28</v>
      </c>
      <c r="E125" s="34"/>
      <c r="F125" s="35">
        <v>0</v>
      </c>
      <c r="G125" s="32">
        <v>282</v>
      </c>
      <c r="H125" s="37">
        <v>0</v>
      </c>
      <c r="I125" s="38">
        <f t="shared" si="3"/>
        <v>0</v>
      </c>
    </row>
    <row r="126" spans="1:9" ht="10.199999999999999" customHeight="1" x14ac:dyDescent="0.3">
      <c r="A126" s="32" t="str">
        <f>HYPERLINK("http://avail.sbinursery.com/LiveInventoryDetail.aspx?CustomerID=954&amp;intItemKey=122&amp;ProductID=BUXXVELNO03&amp;wWidth=700&amp;wHeight=510&amp;intHort=0&amp;imgProID=BUXXVELNO03&amp;strUserType=Live","Buxus x 'Green Velvet'")</f>
        <v>Buxus x 'Green Velvet'</v>
      </c>
      <c r="B126" s="32" t="s">
        <v>22</v>
      </c>
      <c r="C126" s="32"/>
      <c r="D126" s="33">
        <v>25</v>
      </c>
      <c r="E126" s="34"/>
      <c r="F126" s="35">
        <v>537</v>
      </c>
      <c r="G126" s="32">
        <v>2961</v>
      </c>
      <c r="H126" s="37">
        <v>0</v>
      </c>
      <c r="I126" s="38">
        <f t="shared" si="3"/>
        <v>0</v>
      </c>
    </row>
    <row r="127" spans="1:9" ht="10.199999999999999" customHeight="1" x14ac:dyDescent="0.3">
      <c r="A127" s="32" t="str">
        <f>HYPERLINK("http://avail.sbinursery.com/LiveInventoryDetail.aspx?CustomerID=954&amp;intItemKey=1756&amp;ProductID=CEPHDUKNO03&amp;wWidth=700&amp;wHeight=510&amp;intHort=0&amp;imgProID=CEPHDUKNO03&amp;strUserType=Live","Cephalotaxus harringtonia 'Duke Gardens'")</f>
        <v>Cephalotaxus harringtonia 'Duke Gardens'</v>
      </c>
      <c r="B127" s="32" t="s">
        <v>22</v>
      </c>
      <c r="C127" s="32"/>
      <c r="D127" s="33">
        <v>29.5</v>
      </c>
      <c r="E127" s="34"/>
      <c r="F127" s="35">
        <v>92</v>
      </c>
      <c r="G127" s="32">
        <v>110</v>
      </c>
      <c r="H127" s="37">
        <v>0</v>
      </c>
      <c r="I127" s="38">
        <f t="shared" si="3"/>
        <v>0</v>
      </c>
    </row>
    <row r="128" spans="1:9" ht="10.199999999999999" customHeight="1" x14ac:dyDescent="0.3">
      <c r="A128" s="32" t="str">
        <f>HYPERLINK("http://avail.sbinursery.com/LiveInventoryDetail.aspx?CustomerID=954&amp;intItemKey=1757&amp;ProductID=CEPHFASNO03&amp;wWidth=700&amp;wHeight=510&amp;intHort=0&amp;imgProID=CEPHFASNO03&amp;strUserType=Live","Cephalotaxus harringtonia 'Fastigiata'")</f>
        <v>Cephalotaxus harringtonia 'Fastigiata'</v>
      </c>
      <c r="B128" s="32" t="s">
        <v>22</v>
      </c>
      <c r="C128" s="32"/>
      <c r="D128" s="33">
        <v>29.5</v>
      </c>
      <c r="E128" s="34"/>
      <c r="F128" s="35">
        <v>0</v>
      </c>
      <c r="G128" s="32">
        <v>977</v>
      </c>
      <c r="H128" s="37">
        <v>0</v>
      </c>
      <c r="I128" s="38">
        <f t="shared" si="3"/>
        <v>0</v>
      </c>
    </row>
    <row r="129" spans="1:9" ht="10.199999999999999" customHeight="1" x14ac:dyDescent="0.3">
      <c r="A129" s="32" t="str">
        <f>HYPERLINK("http://avail.sbinursery.com/LiveInventoryDetail.aspx?CustomerID=954&amp;intItemKey=146&amp;ProductID=CHANPENNO07&amp;wWidth=700&amp;wHeight=510&amp;intHort=0&amp;imgProID=CHANPENNO07&amp;strUserType=Live","Chamaecyparis nootkatensis 'Pendula'")</f>
        <v>Chamaecyparis nootkatensis 'Pendula'</v>
      </c>
      <c r="B129" s="32" t="s">
        <v>27</v>
      </c>
      <c r="C129" s="32"/>
      <c r="D129" s="33">
        <v>85</v>
      </c>
      <c r="E129" s="34"/>
      <c r="F129" s="35">
        <v>49</v>
      </c>
      <c r="G129" s="32">
        <v>10</v>
      </c>
      <c r="H129" s="37">
        <v>0</v>
      </c>
      <c r="I129" s="38">
        <f t="shared" si="3"/>
        <v>0</v>
      </c>
    </row>
    <row r="130" spans="1:9" ht="10.199999999999999" customHeight="1" x14ac:dyDescent="0.3">
      <c r="A130" s="32" t="str">
        <f>HYPERLINK("http://avail.sbinursery.com/LiveInventoryDetail.aspx?CustomerID=954&amp;intItemKey=147&amp;ProductID=CHAOGRCNO03&amp;wWidth=700&amp;wHeight=510&amp;intHort=0&amp;imgProID=0&amp;strUserType=Live","Chamaecyparis obtusa 'Gracilis'")</f>
        <v>Chamaecyparis obtusa 'Gracilis'</v>
      </c>
      <c r="B130" s="32" t="s">
        <v>22</v>
      </c>
      <c r="C130" s="32"/>
      <c r="D130" s="33">
        <v>34</v>
      </c>
      <c r="E130" s="34"/>
      <c r="F130" s="35">
        <v>0</v>
      </c>
      <c r="G130" s="32">
        <v>50</v>
      </c>
      <c r="H130" s="37">
        <v>0</v>
      </c>
      <c r="I130" s="38">
        <f t="shared" si="3"/>
        <v>0</v>
      </c>
    </row>
    <row r="131" spans="1:9" ht="10.199999999999999" customHeight="1" x14ac:dyDescent="0.3">
      <c r="A131" s="32" t="str">
        <f>HYPERLINK("http://avail.sbinursery.com/LiveInventoryDetail.aspx?CustomerID=954&amp;intItemKey=1543&amp;ProductID=CHAPGMONO03&amp;wWidth=700&amp;wHeight=510&amp;intHort=0&amp;imgProID=CHAPGMONO03&amp;strUserType=Live","Chamaecyparis pisifera 'Golden Mop'")</f>
        <v>Chamaecyparis pisifera 'Golden Mop'</v>
      </c>
      <c r="B131" s="32" t="s">
        <v>22</v>
      </c>
      <c r="C131" s="32"/>
      <c r="D131" s="33">
        <v>22</v>
      </c>
      <c r="E131" s="34"/>
      <c r="F131" s="35">
        <v>743</v>
      </c>
      <c r="G131" s="32">
        <v>833</v>
      </c>
      <c r="H131" s="37">
        <v>0</v>
      </c>
      <c r="I131" s="38">
        <f t="shared" si="3"/>
        <v>0</v>
      </c>
    </row>
    <row r="132" spans="1:9" ht="10.199999999999999" customHeight="1" x14ac:dyDescent="0.3">
      <c r="A132" s="32" t="str">
        <f>HYPERLINK("http://avail.sbinursery.com/LiveInventoryDetail.aspx?CustomerID=954&amp;intItemKey=1143&amp;ProductID=CHAPVINNO03&amp;wWidth=700&amp;wHeight=510&amp;intHort=0&amp;imgProID=CHAPVINNO03&amp;strUserType=Live","Chamaecyparis pisifera 'Vintage Gold'")</f>
        <v>Chamaecyparis pisifera 'Vintage Gold'</v>
      </c>
      <c r="B132" s="32" t="s">
        <v>22</v>
      </c>
      <c r="C132" s="32"/>
      <c r="D132" s="33">
        <v>22</v>
      </c>
      <c r="E132" s="34"/>
      <c r="F132" s="35">
        <v>259</v>
      </c>
      <c r="G132" s="32">
        <v>107</v>
      </c>
      <c r="H132" s="37">
        <v>0</v>
      </c>
      <c r="I132" s="38">
        <f t="shared" si="3"/>
        <v>0</v>
      </c>
    </row>
    <row r="133" spans="1:9" ht="10.199999999999999" customHeight="1" x14ac:dyDescent="0.3">
      <c r="A133" s="32" t="str">
        <f>HYPERLINK("http://avail.sbinursery.com/LiveInventoryDetail.aspx?CustomerID=954&amp;intItemKey=368&amp;ProductID=ILEBPRPINO03&amp;wWidth=700&amp;wHeight=510&amp;intHort=0&amp;imgProID=ILEBPRPINO03&amp;strUserType=Live","Ilex x 'Blue Prince' x 'Blue Princess'")</f>
        <v>Ilex x 'Blue Prince' x 'Blue Princess'</v>
      </c>
      <c r="B133" s="32" t="s">
        <v>22</v>
      </c>
      <c r="C133" s="32"/>
      <c r="D133" s="33">
        <v>25</v>
      </c>
      <c r="E133" s="34"/>
      <c r="F133" s="35">
        <v>27</v>
      </c>
      <c r="G133" s="32">
        <v>0</v>
      </c>
      <c r="H133" s="37">
        <v>0</v>
      </c>
      <c r="I133" s="38">
        <f t="shared" si="3"/>
        <v>0</v>
      </c>
    </row>
    <row r="134" spans="1:9" ht="10.199999999999999" customHeight="1" x14ac:dyDescent="0.3">
      <c r="A134" s="32" t="str">
        <f>HYPERLINK("http://avail.sbinursery.com/LiveInventoryDetail.aspx?CustomerID=954&amp;intItemKey=1017&amp;ProductID=ILECPENNO03&amp;wWidth=700&amp;wHeight=510&amp;intHort=0&amp;imgProID=ILECPENNO03&amp;strUserType=Live","Ilex crenata 'Sky Pencil'")</f>
        <v>Ilex crenata 'Sky Pencil'</v>
      </c>
      <c r="B134" s="32" t="s">
        <v>22</v>
      </c>
      <c r="C134" s="32"/>
      <c r="D134" s="33">
        <v>25.5</v>
      </c>
      <c r="E134" s="34"/>
      <c r="F134" s="35">
        <v>288</v>
      </c>
      <c r="G134" s="32">
        <v>406</v>
      </c>
      <c r="H134" s="37">
        <v>0</v>
      </c>
      <c r="I134" s="38">
        <f t="shared" si="3"/>
        <v>0</v>
      </c>
    </row>
    <row r="135" spans="1:9" ht="10.199999999999999" customHeight="1" x14ac:dyDescent="0.3">
      <c r="A135" s="32" t="str">
        <f>HYPERLINK("http://avail.sbinursery.com/LiveInventoryDetail.aspx?CustomerID=954&amp;intItemKey=362&amp;ProductID=ILEGNORNO03&amp;wWidth=700&amp;wHeight=510&amp;intHort=0&amp;imgProID=ILEGNORNO03&amp;strUserType=Live","Ilex glabra 'Chamzin' Nordic®")</f>
        <v>Ilex glabra 'Chamzin' Nordic®</v>
      </c>
      <c r="B135" s="32" t="s">
        <v>22</v>
      </c>
      <c r="C135" s="32"/>
      <c r="D135" s="33">
        <v>19</v>
      </c>
      <c r="E135" s="34"/>
      <c r="F135" s="35">
        <v>180</v>
      </c>
      <c r="G135" s="32">
        <v>0</v>
      </c>
      <c r="H135" s="37">
        <v>0</v>
      </c>
      <c r="I135" s="38">
        <f t="shared" si="3"/>
        <v>0</v>
      </c>
    </row>
    <row r="136" spans="1:9" ht="10.199999999999999" customHeight="1" x14ac:dyDescent="0.3">
      <c r="A136" s="32" t="str">
        <f>HYPERLINK("http://avail.sbinursery.com/LiveInventoryDetail.aspx?CustomerID=954&amp;intItemKey=363&amp;ProductID=ILEGSHANO03&amp;wWidth=700&amp;wHeight=510&amp;intHort=0&amp;imgProID=ILEGSHANO03&amp;strUserType=Live","Ilex glabra 'Shamrock'")</f>
        <v>Ilex glabra 'Shamrock'</v>
      </c>
      <c r="B136" s="32" t="s">
        <v>22</v>
      </c>
      <c r="C136" s="32"/>
      <c r="D136" s="33">
        <v>19</v>
      </c>
      <c r="E136" s="34"/>
      <c r="F136" s="35">
        <v>0</v>
      </c>
      <c r="G136" s="32">
        <v>707</v>
      </c>
      <c r="H136" s="37">
        <v>0</v>
      </c>
      <c r="I136" s="38">
        <f t="shared" si="3"/>
        <v>0</v>
      </c>
    </row>
    <row r="137" spans="1:9" ht="10.199999999999999" customHeight="1" x14ac:dyDescent="0.3">
      <c r="A137" s="32" t="str">
        <f>HYPERLINK("http://avail.sbinursery.com/LiveInventoryDetail.aspx?CustomerID=954&amp;intItemKey=1588&amp;ProductID=JUNCBLUNO07&amp;wWidth=700&amp;wHeight=510&amp;intHort=0&amp;imgProID=JUNCBLUNO07&amp;strUserType=Live","Juniperus chinensis 'Blue Point'")</f>
        <v>Juniperus chinensis 'Blue Point'</v>
      </c>
      <c r="B137" s="32" t="s">
        <v>27</v>
      </c>
      <c r="C137" s="32"/>
      <c r="D137" s="33">
        <v>72</v>
      </c>
      <c r="E137" s="34"/>
      <c r="F137" s="35">
        <v>61</v>
      </c>
      <c r="G137" s="32">
        <v>0</v>
      </c>
      <c r="H137" s="37">
        <v>0</v>
      </c>
      <c r="I137" s="38">
        <f t="shared" si="3"/>
        <v>0</v>
      </c>
    </row>
    <row r="138" spans="1:9" ht="10.199999999999999" customHeight="1" x14ac:dyDescent="0.3">
      <c r="A138" s="32" t="str">
        <f>HYPERLINK("http://avail.sbinursery.com/LiveInventoryDetail.aspx?CustomerID=954&amp;intItemKey=381&amp;ProductID=JUNCGOLNO03&amp;wWidth=700&amp;wHeight=510&amp;intHort=0&amp;imgProID=JUNCGOLNO03&amp;strUserType=Live","Juniperus chinensis Saybrook Gold®")</f>
        <v>Juniperus chinensis Saybrook Gold®</v>
      </c>
      <c r="B138" s="32" t="s">
        <v>22</v>
      </c>
      <c r="C138" s="32"/>
      <c r="D138" s="33">
        <v>25</v>
      </c>
      <c r="E138" s="34"/>
      <c r="F138" s="35">
        <v>233</v>
      </c>
      <c r="G138" s="32">
        <v>0</v>
      </c>
      <c r="H138" s="37">
        <v>0</v>
      </c>
      <c r="I138" s="38">
        <f t="shared" si="3"/>
        <v>0</v>
      </c>
    </row>
    <row r="139" spans="1:9" ht="10.199999999999999" customHeight="1" x14ac:dyDescent="0.3">
      <c r="A139" s="32" t="str">
        <f>HYPERLINK("http://avail.sbinursery.com/LiveInventoryDetail.aspx?CustomerID=954&amp;intItemKey=391&amp;ProductID=JUNCPACNO03&amp;wWidth=700&amp;wHeight=510&amp;intHort=0&amp;imgProID=JUNCPACNO03&amp;strUserType=Live","Juniperus conferta 'Blue Pacific'")</f>
        <v>Juniperus conferta 'Blue Pacific'</v>
      </c>
      <c r="B139" s="32" t="s">
        <v>22</v>
      </c>
      <c r="C139" s="32"/>
      <c r="D139" s="33">
        <v>23</v>
      </c>
      <c r="E139" s="34"/>
      <c r="F139" s="35">
        <v>25</v>
      </c>
      <c r="G139" s="32">
        <v>0</v>
      </c>
      <c r="H139" s="37">
        <v>0</v>
      </c>
      <c r="I139" s="38">
        <f t="shared" si="3"/>
        <v>0</v>
      </c>
    </row>
    <row r="140" spans="1:9" ht="10.199999999999999" customHeight="1" x14ac:dyDescent="0.3">
      <c r="A140" s="32" t="str">
        <f>HYPERLINK("http://avail.sbinursery.com/LiveInventoryDetail.aspx?CustomerID=954&amp;intItemKey=936&amp;ProductID=JUNCSPANO07&amp;wWidth=700&amp;wHeight=510&amp;intHort=0&amp;imgProID=0&amp;strUserType=Live","Juniperus chinensis 'Spartan'")</f>
        <v>Juniperus chinensis 'Spartan'</v>
      </c>
      <c r="B140" s="32" t="s">
        <v>27</v>
      </c>
      <c r="C140" s="32"/>
      <c r="D140" s="33">
        <v>72</v>
      </c>
      <c r="E140" s="34"/>
      <c r="F140" s="35">
        <v>0</v>
      </c>
      <c r="G140" s="32">
        <v>81</v>
      </c>
      <c r="H140" s="37">
        <v>0</v>
      </c>
      <c r="I140" s="38">
        <f t="shared" si="3"/>
        <v>0</v>
      </c>
    </row>
    <row r="141" spans="1:9" ht="10.199999999999999" customHeight="1" x14ac:dyDescent="0.3">
      <c r="A141" s="32" t="str">
        <f>HYPERLINK("http://avail.sbinursery.com/LiveInventoryDetail.aspx?CustomerID=954&amp;intItemKey=1747&amp;ProductID=JUNHBARNO03&amp;wWidth=700&amp;wHeight=510&amp;intHort=0&amp;imgProID=0&amp;strUserType=Live","Juniperus horizontalis 'Bar Harbor'")</f>
        <v>Juniperus horizontalis 'Bar Harbor'</v>
      </c>
      <c r="B141" s="32" t="s">
        <v>22</v>
      </c>
      <c r="C141" s="32"/>
      <c r="D141" s="33">
        <v>26</v>
      </c>
      <c r="E141" s="34"/>
      <c r="F141" s="35">
        <v>50</v>
      </c>
      <c r="G141" s="32">
        <v>0</v>
      </c>
      <c r="H141" s="37">
        <v>0</v>
      </c>
      <c r="I141" s="38">
        <f t="shared" si="3"/>
        <v>0</v>
      </c>
    </row>
    <row r="142" spans="1:9" ht="10.199999999999999" customHeight="1" x14ac:dyDescent="0.3">
      <c r="A142" s="32" t="str">
        <f>HYPERLINK("http://avail.sbinursery.com/LiveInventoryDetail.aspx?CustomerID=954&amp;intItemKey=401&amp;ProductID=JUNSBUFNO03&amp;wWidth=700&amp;wHeight=510&amp;intHort=0&amp;imgProID=JUNSBUFNO03&amp;strUserType=Live","Juniperus sabina 'Buffalo'")</f>
        <v>Juniperus sabina 'Buffalo'</v>
      </c>
      <c r="B142" s="32" t="s">
        <v>22</v>
      </c>
      <c r="C142" s="32"/>
      <c r="D142" s="33">
        <v>25</v>
      </c>
      <c r="E142" s="34"/>
      <c r="F142" s="35">
        <v>246</v>
      </c>
      <c r="G142" s="32">
        <v>320</v>
      </c>
      <c r="H142" s="37">
        <v>0</v>
      </c>
      <c r="I142" s="38">
        <f t="shared" si="3"/>
        <v>0</v>
      </c>
    </row>
    <row r="143" spans="1:9" ht="10.199999999999999" customHeight="1" x14ac:dyDescent="0.3">
      <c r="A143" s="32" t="str">
        <f>HYPERLINK("http://avail.sbinursery.com/LiveInventoryDetail.aspx?CustomerID=954&amp;intItemKey=405&amp;ProductID=JUNSQSTNO03&amp;wWidth=700&amp;wHeight=510&amp;intHort=0&amp;imgProID=JUNSQSTNO03&amp;strUserType=Live","Juniperus squamata 'Blue Star'")</f>
        <v>Juniperus squamata 'Blue Star'</v>
      </c>
      <c r="B143" s="32" t="s">
        <v>22</v>
      </c>
      <c r="C143" s="32"/>
      <c r="D143" s="33">
        <v>27</v>
      </c>
      <c r="E143" s="34"/>
      <c r="F143" s="35">
        <v>186</v>
      </c>
      <c r="G143" s="32">
        <v>60</v>
      </c>
      <c r="H143" s="37">
        <v>0</v>
      </c>
      <c r="I143" s="38">
        <f t="shared" si="3"/>
        <v>0</v>
      </c>
    </row>
    <row r="144" spans="1:9" ht="10.199999999999999" customHeight="1" x14ac:dyDescent="0.3">
      <c r="A144" s="32" t="str">
        <f>HYPERLINK("http://avail.sbinursery.com/LiveInventoryDetail.aspx?CustomerID=954&amp;intItemKey=2008&amp;ProductID=JUNVEMENO07&amp;wWidth=700&amp;wHeight=510&amp;intHort=0&amp;imgProID=0&amp;strUserType=Live","Juniperus virginiana 'Emerald Sentinel'™")</f>
        <v>Juniperus virginiana 'Emerald Sentinel'™</v>
      </c>
      <c r="B144" s="32" t="s">
        <v>27</v>
      </c>
      <c r="C144" s="32"/>
      <c r="D144" s="33">
        <v>72</v>
      </c>
      <c r="E144" s="34"/>
      <c r="F144" s="35">
        <v>0</v>
      </c>
      <c r="G144" s="32">
        <v>88</v>
      </c>
      <c r="H144" s="37">
        <v>0</v>
      </c>
      <c r="I144" s="38">
        <f t="shared" si="3"/>
        <v>0</v>
      </c>
    </row>
    <row r="145" spans="1:9" ht="10.199999999999999" customHeight="1" x14ac:dyDescent="0.3">
      <c r="A145" s="32" t="str">
        <f>HYPERLINK("http://avail.sbinursery.com/LiveInventoryDetail.aspx?CustomerID=954&amp;intItemKey=941&amp;ProductID=JUNVGRENO03&amp;wWidth=700&amp;wHeight=510&amp;intHort=0&amp;imgProID=JUNVGRENO03&amp;strUserType=Live","Juniperus virginiana 'Grey Owl'")</f>
        <v>Juniperus virginiana 'Grey Owl'</v>
      </c>
      <c r="B145" s="32" t="s">
        <v>22</v>
      </c>
      <c r="C145" s="32"/>
      <c r="D145" s="33">
        <v>25</v>
      </c>
      <c r="E145" s="34"/>
      <c r="F145" s="35">
        <v>676</v>
      </c>
      <c r="G145" s="32">
        <v>0</v>
      </c>
      <c r="H145" s="37">
        <v>0</v>
      </c>
      <c r="I145" s="38">
        <f t="shared" si="3"/>
        <v>0</v>
      </c>
    </row>
    <row r="146" spans="1:9" ht="10.199999999999999" customHeight="1" x14ac:dyDescent="0.3">
      <c r="A146" s="32" t="str">
        <f>HYPERLINK("http://avail.sbinursery.com/LiveInventoryDetail.aspx?CustomerID=954&amp;intItemKey=403&amp;ProductID=JUNVSKYNO07&amp;wWidth=700&amp;wHeight=510&amp;intHort=0&amp;imgProID=JUNVSKYNO07&amp;strUserType=Live","Juniperus scopulorum 'Skyrocket")</f>
        <v>Juniperus scopulorum 'Skyrocket</v>
      </c>
      <c r="B146" s="32" t="s">
        <v>27</v>
      </c>
      <c r="C146" s="32"/>
      <c r="D146" s="33">
        <v>72</v>
      </c>
      <c r="E146" s="34"/>
      <c r="F146" s="35">
        <v>0</v>
      </c>
      <c r="G146" s="32">
        <v>120</v>
      </c>
      <c r="H146" s="37">
        <v>0</v>
      </c>
      <c r="I146" s="38">
        <f t="shared" si="3"/>
        <v>0</v>
      </c>
    </row>
    <row r="147" spans="1:9" ht="10.199999999999999" customHeight="1" x14ac:dyDescent="0.3">
      <c r="A147" s="32" t="str">
        <f>HYPERLINK("http://avail.sbinursery.com/LiveInventoryDetail.aspx?CustomerID=954&amp;intItemKey=414&amp;ProductID=LEUASQUNO03&amp;wWidth=700&amp;wHeight=510&amp;intHort=0&amp;imgProID=LEUASQUNO03&amp;strUserType=Live","Leucothoe axallaris 'Squzam' Squirt™")</f>
        <v>Leucothoe axallaris 'Squzam' Squirt™</v>
      </c>
      <c r="B147" s="32" t="s">
        <v>22</v>
      </c>
      <c r="C147" s="32"/>
      <c r="D147" s="33">
        <v>19.5</v>
      </c>
      <c r="E147" s="34"/>
      <c r="F147" s="35">
        <v>0</v>
      </c>
      <c r="G147" s="32">
        <v>276</v>
      </c>
      <c r="H147" s="37">
        <v>0</v>
      </c>
      <c r="I147" s="38">
        <f t="shared" si="3"/>
        <v>0</v>
      </c>
    </row>
    <row r="148" spans="1:9" ht="10.199999999999999" customHeight="1" x14ac:dyDescent="0.3">
      <c r="A148" s="32" t="str">
        <f>HYPERLINK("http://avail.sbinursery.com/LiveInventoryDetail.aspx?CustomerID=954&amp;intItemKey=486&amp;ProductID=MICDECUNO03&amp;wWidth=700&amp;wHeight=510&amp;intHort=0&amp;imgProID=MICDECUNO03&amp;strUserType=Live","Microbiota decussata")</f>
        <v>Microbiota decussata</v>
      </c>
      <c r="B148" s="32" t="s">
        <v>22</v>
      </c>
      <c r="C148" s="32"/>
      <c r="D148" s="33">
        <v>19.5</v>
      </c>
      <c r="E148" s="34"/>
      <c r="F148" s="35">
        <v>0</v>
      </c>
      <c r="G148" s="32">
        <v>40</v>
      </c>
      <c r="H148" s="37">
        <v>0</v>
      </c>
      <c r="I148" s="38">
        <f t="shared" si="3"/>
        <v>0</v>
      </c>
    </row>
    <row r="149" spans="1:9" ht="10.199999999999999" customHeight="1" x14ac:dyDescent="0.3">
      <c r="A149" s="32" t="str">
        <f>HYPERLINK("http://avail.sbinursery.com/LiveInventoryDetail.aspx?CustomerID=954&amp;intItemKey=536&amp;ProductID=PICANIDNO03&amp;wWidth=700&amp;wHeight=510&amp;intHort=0&amp;imgProID=PICANIDNO03&amp;strUserType=Live","Picea abies 'Nidiformis'")</f>
        <v>Picea abies 'Nidiformis'</v>
      </c>
      <c r="B149" s="32" t="s">
        <v>22</v>
      </c>
      <c r="C149" s="32"/>
      <c r="D149" s="33">
        <v>28</v>
      </c>
      <c r="E149" s="34"/>
      <c r="F149" s="35">
        <v>185</v>
      </c>
      <c r="G149" s="32">
        <v>349</v>
      </c>
      <c r="H149" s="37">
        <v>0</v>
      </c>
      <c r="I149" s="38">
        <f t="shared" si="3"/>
        <v>0</v>
      </c>
    </row>
    <row r="150" spans="1:9" ht="10.199999999999999" customHeight="1" x14ac:dyDescent="0.3">
      <c r="A150" s="32" t="str">
        <f>HYPERLINK("http://avail.sbinursery.com/LiveInventoryDetail.aspx?CustomerID=954&amp;intItemKey=541&amp;ProductID=PICPGLONO05&amp;wWidth=700&amp;wHeight=510&amp;intHort=0&amp;imgProID=0&amp;strUserType=Live","Picea pungens 'Glauca Globosa'")</f>
        <v>Picea pungens 'Glauca Globosa'</v>
      </c>
      <c r="B150" s="32" t="s">
        <v>24</v>
      </c>
      <c r="C150" s="32"/>
      <c r="D150" s="33">
        <v>108</v>
      </c>
      <c r="E150" s="34"/>
      <c r="F150" s="35">
        <v>6</v>
      </c>
      <c r="G150" s="32">
        <v>0</v>
      </c>
      <c r="H150" s="37">
        <v>0</v>
      </c>
      <c r="I150" s="38">
        <f t="shared" si="3"/>
        <v>0</v>
      </c>
    </row>
    <row r="151" spans="1:9" ht="10.199999999999999" customHeight="1" x14ac:dyDescent="0.3">
      <c r="A151" s="32" t="str">
        <f>HYPERLINK("http://avail.sbinursery.com/LiveInventoryDetail.aspx?CustomerID=954&amp;intItemKey=545&amp;ProductID=PIEJFIRNO03&amp;wWidth=700&amp;wHeight=510&amp;intHort=0&amp;imgProID=PIEJFIRNO03&amp;strUserType=Live","Pieris japonica 'Mountain Fire'")</f>
        <v>Pieris japonica 'Mountain Fire'</v>
      </c>
      <c r="B151" s="32" t="s">
        <v>22</v>
      </c>
      <c r="C151" s="32"/>
      <c r="D151" s="33">
        <v>29</v>
      </c>
      <c r="E151" s="34"/>
      <c r="F151" s="35">
        <v>37</v>
      </c>
      <c r="G151" s="32">
        <v>0</v>
      </c>
      <c r="H151" s="37">
        <v>0</v>
      </c>
      <c r="I151" s="38">
        <f t="shared" si="3"/>
        <v>0</v>
      </c>
    </row>
    <row r="152" spans="1:9" ht="10.199999999999999" customHeight="1" x14ac:dyDescent="0.3">
      <c r="A152" s="32" t="str">
        <f>HYPERLINK("http://avail.sbinursery.com/LiveInventoryDetail.aspx?CustomerID=954&amp;intItemKey=2037&amp;ProductID=PINLEUCNO05A&amp;wWidth=700&amp;wHeight=510&amp;intHort=0&amp;imgProID=0&amp;strUserType=Live","Pinus leucodermis")</f>
        <v>Pinus leucodermis</v>
      </c>
      <c r="B152" s="32" t="s">
        <v>31</v>
      </c>
      <c r="C152" s="32"/>
      <c r="D152" s="33">
        <v>52</v>
      </c>
      <c r="E152" s="34"/>
      <c r="F152" s="35">
        <v>5</v>
      </c>
      <c r="G152" s="32">
        <v>0</v>
      </c>
      <c r="H152" s="37">
        <v>0</v>
      </c>
      <c r="I152" s="38">
        <f t="shared" si="3"/>
        <v>0</v>
      </c>
    </row>
    <row r="153" spans="1:9" ht="10.199999999999999" customHeight="1" x14ac:dyDescent="0.3">
      <c r="A153" s="32" t="str">
        <f>HYPERLINK("http://avail.sbinursery.com/LiveInventoryDetail.aspx?CustomerID=954&amp;intItemKey=1157&amp;ProductID=PINMPUMNO03&amp;wWidth=700&amp;wHeight=510&amp;intHort=0&amp;imgProID=PINMPUMNO03&amp;strUserType=Live","Pinus m. v. pumilio")</f>
        <v>Pinus m. v. pumilio</v>
      </c>
      <c r="B153" s="32" t="s">
        <v>22</v>
      </c>
      <c r="C153" s="32"/>
      <c r="D153" s="33">
        <v>28</v>
      </c>
      <c r="E153" s="34"/>
      <c r="F153" s="35">
        <v>135</v>
      </c>
      <c r="G153" s="32">
        <v>200</v>
      </c>
      <c r="H153" s="37">
        <v>0</v>
      </c>
      <c r="I153" s="38">
        <f t="shared" si="3"/>
        <v>0</v>
      </c>
    </row>
    <row r="154" spans="1:9" ht="10.199999999999999" customHeight="1" x14ac:dyDescent="0.3">
      <c r="A154" s="32" t="str">
        <f>HYPERLINK("http://avail.sbinursery.com/LiveInventoryDetail.aspx?CustomerID=954&amp;intItemKey=1742&amp;ProductID=RHOEPJMNO03&amp;wWidth=700&amp;wHeight=510&amp;intHort=0&amp;imgProID=RHOEPJMNO03&amp;strUserType=Live","Rhododendron 'PJM Elite''")</f>
        <v>Rhododendron 'PJM Elite''</v>
      </c>
      <c r="B154" s="32" t="s">
        <v>22</v>
      </c>
      <c r="C154" s="32"/>
      <c r="D154" s="33">
        <v>29.5</v>
      </c>
      <c r="E154" s="34"/>
      <c r="F154" s="35">
        <v>254</v>
      </c>
      <c r="G154" s="32">
        <v>0</v>
      </c>
      <c r="H154" s="37">
        <v>0</v>
      </c>
      <c r="I154" s="38">
        <f t="shared" si="3"/>
        <v>0</v>
      </c>
    </row>
    <row r="155" spans="1:9" ht="10.199999999999999" customHeight="1" x14ac:dyDescent="0.3">
      <c r="A155" s="32" t="str">
        <f>HYPERLINK("http://avail.sbinursery.com/LiveInventoryDetail.aspx?CustomerID=954&amp;intItemKey=676&amp;ProductID=TAXMDENNO03&amp;wWidth=700&amp;wHeight=510&amp;intHort=0&amp;imgProID=TAXMDENNO03&amp;strUserType=Live","Taxus x 'Densiformis'")</f>
        <v>Taxus x 'Densiformis'</v>
      </c>
      <c r="B155" s="32" t="s">
        <v>22</v>
      </c>
      <c r="C155" s="32"/>
      <c r="D155" s="33">
        <v>27</v>
      </c>
      <c r="E155" s="34"/>
      <c r="F155" s="35">
        <v>142</v>
      </c>
      <c r="G155" s="32">
        <v>311</v>
      </c>
      <c r="H155" s="37">
        <v>0</v>
      </c>
      <c r="I155" s="38">
        <f t="shared" si="3"/>
        <v>0</v>
      </c>
    </row>
    <row r="156" spans="1:9" ht="10.199999999999999" customHeight="1" x14ac:dyDescent="0.3">
      <c r="A156" s="32" t="str">
        <f>HYPERLINK("http://avail.sbinursery.com/LiveInventoryDetail.aspx?CustomerID=954&amp;intItemKey=676&amp;ProductID=TAXMDENNO05&amp;wWidth=700&amp;wHeight=510&amp;intHort=0&amp;imgProID=TAXMDENNO05&amp;strUserType=Live","Taxus x 'Densiformis'")</f>
        <v>Taxus x 'Densiformis'</v>
      </c>
      <c r="B156" s="32" t="s">
        <v>24</v>
      </c>
      <c r="C156" s="32"/>
      <c r="D156" s="33">
        <v>36</v>
      </c>
      <c r="E156" s="34"/>
      <c r="F156" s="35">
        <v>442</v>
      </c>
      <c r="G156" s="32">
        <v>452</v>
      </c>
      <c r="H156" s="37">
        <v>0</v>
      </c>
      <c r="I156" s="38">
        <f t="shared" si="3"/>
        <v>0</v>
      </c>
    </row>
    <row r="157" spans="1:9" ht="10.199999999999999" customHeight="1" x14ac:dyDescent="0.3">
      <c r="A157" s="32" t="str">
        <f>HYPERLINK("http://avail.sbinursery.com/LiveInventoryDetail.aspx?CustomerID=954&amp;intItemKey=679&amp;ProductID=TAXMHICNO03&amp;wWidth=700&amp;wHeight=510&amp;intHort=0&amp;imgProID=TAXMHICNO03&amp;strUserType=Live","Taxus x 'Hicksii'")</f>
        <v>Taxus x 'Hicksii'</v>
      </c>
      <c r="B157" s="32" t="s">
        <v>22</v>
      </c>
      <c r="C157" s="32"/>
      <c r="D157" s="33">
        <v>27</v>
      </c>
      <c r="E157" s="34"/>
      <c r="F157" s="35">
        <v>4</v>
      </c>
      <c r="G157" s="32">
        <v>289</v>
      </c>
      <c r="H157" s="37">
        <v>0</v>
      </c>
      <c r="I157" s="38">
        <f t="shared" si="3"/>
        <v>0</v>
      </c>
    </row>
    <row r="158" spans="1:9" ht="10.199999999999999" customHeight="1" x14ac:dyDescent="0.3">
      <c r="A158" s="32" t="str">
        <f>HYPERLINK("http://avail.sbinursery.com/LiveInventoryDetail.aspx?CustomerID=954&amp;intItemKey=679&amp;ProductID=TAXMHICNO05&amp;wWidth=700&amp;wHeight=510&amp;intHort=0&amp;imgProID=TAXMHICNO05&amp;strUserType=Live","Taxus x 'Hicksii'")</f>
        <v>Taxus x 'Hicksii'</v>
      </c>
      <c r="B158" s="32" t="s">
        <v>24</v>
      </c>
      <c r="C158" s="32"/>
      <c r="D158" s="33">
        <v>36</v>
      </c>
      <c r="E158" s="34"/>
      <c r="F158" s="35">
        <v>178</v>
      </c>
      <c r="G158" s="32">
        <v>959</v>
      </c>
      <c r="H158" s="37">
        <v>0</v>
      </c>
      <c r="I158" s="38">
        <f t="shared" si="3"/>
        <v>0</v>
      </c>
    </row>
    <row r="159" spans="1:9" ht="10.199999999999999" customHeight="1" x14ac:dyDescent="0.3">
      <c r="A159" s="32" t="str">
        <f>HYPERLINK("http://avail.sbinursery.com/LiveInventoryDetail.aspx?CustomerID=954&amp;intItemKey=135&amp;ProductID=TAXMWARNO03&amp;wWidth=700&amp;wHeight=510&amp;intHort=0&amp;imgProID=TAXMWARNO03&amp;strUserType=Live","Taxus x 'Wardii' (Female)")</f>
        <v>Taxus x 'Wardii' (Female)</v>
      </c>
      <c r="B159" s="32" t="s">
        <v>22</v>
      </c>
      <c r="C159" s="32"/>
      <c r="D159" s="33">
        <v>27</v>
      </c>
      <c r="E159" s="34"/>
      <c r="F159" s="35">
        <v>0</v>
      </c>
      <c r="G159" s="32">
        <v>1</v>
      </c>
      <c r="H159" s="37">
        <v>0</v>
      </c>
      <c r="I159" s="38">
        <f t="shared" si="3"/>
        <v>0</v>
      </c>
    </row>
    <row r="160" spans="1:9" ht="10.199999999999999" customHeight="1" x14ac:dyDescent="0.3">
      <c r="A160" s="32" t="str">
        <f>HYPERLINK("http://avail.sbinursery.com/LiveInventoryDetail.aspx?CustomerID=954&amp;intItemKey=135&amp;ProductID=TAXMWARNO05&amp;wWidth=700&amp;wHeight=510&amp;intHort=0&amp;imgProID=TAXMWARNO05&amp;strUserType=Live","Taxus x 'Wardii' (Female)")</f>
        <v>Taxus x 'Wardii' (Female)</v>
      </c>
      <c r="B160" s="32" t="s">
        <v>24</v>
      </c>
      <c r="C160" s="32"/>
      <c r="D160" s="33">
        <v>36</v>
      </c>
      <c r="E160" s="34"/>
      <c r="F160" s="35">
        <v>309</v>
      </c>
      <c r="G160" s="32">
        <v>470</v>
      </c>
      <c r="H160" s="37">
        <v>0</v>
      </c>
      <c r="I160" s="38">
        <f t="shared" si="3"/>
        <v>0</v>
      </c>
    </row>
    <row r="161" spans="1:9" ht="10.199999999999999" customHeight="1" x14ac:dyDescent="0.3">
      <c r="A161" s="32" t="str">
        <f>HYPERLINK("http://avail.sbinursery.com/LiveInventoryDetail.aspx?CustomerID=954&amp;intItemKey=686&amp;ProductID=THUOBALNO03&amp;wWidth=700&amp;wHeight=510&amp;intHort=0&amp;imgProID=THUOBALNO03&amp;strUserType=Live","Thuja occidentalis 'Bobazam' Mr. Bowling Ball®")</f>
        <v>Thuja occidentalis 'Bobazam' Mr. Bowling Ball®</v>
      </c>
      <c r="B161" s="32" t="s">
        <v>22</v>
      </c>
      <c r="C161" s="32"/>
      <c r="D161" s="33">
        <v>19.5</v>
      </c>
      <c r="E161" s="34"/>
      <c r="F161" s="35">
        <v>344</v>
      </c>
      <c r="G161" s="32">
        <v>5130</v>
      </c>
      <c r="H161" s="37">
        <v>0</v>
      </c>
      <c r="I161" s="38">
        <f t="shared" si="3"/>
        <v>0</v>
      </c>
    </row>
    <row r="162" spans="1:9" ht="10.199999999999999" customHeight="1" x14ac:dyDescent="0.3">
      <c r="A162" s="32" t="str">
        <f>HYPERLINK("http://avail.sbinursery.com/LiveInventoryDetail.aspx?CustomerID=954&amp;intItemKey=1388&amp;ProductID=THUODEGNO07&amp;wWidth=700&amp;wHeight=510&amp;intHort=0&amp;imgProID=THUODEGNO07&amp;strUserType=Live","Thuja occidentalis 'Degroot's Spire'")</f>
        <v>Thuja occidentalis 'Degroot's Spire'</v>
      </c>
      <c r="B162" s="32" t="s">
        <v>27</v>
      </c>
      <c r="C162" s="32"/>
      <c r="D162" s="33">
        <v>42</v>
      </c>
      <c r="E162" s="34"/>
      <c r="F162" s="35">
        <v>13</v>
      </c>
      <c r="G162" s="32">
        <v>200</v>
      </c>
      <c r="H162" s="37">
        <v>0</v>
      </c>
      <c r="I162" s="38">
        <f t="shared" si="3"/>
        <v>0</v>
      </c>
    </row>
    <row r="163" spans="1:9" ht="10.199999999999999" customHeight="1" x14ac:dyDescent="0.3">
      <c r="A163" s="32" t="str">
        <f>HYPERLINK("http://avail.sbinursery.com/LiveInventoryDetail.aspx?CustomerID=954&amp;intItemKey=688&amp;ProductID=THUOEMENO07&amp;wWidth=700&amp;wHeight=510&amp;intHort=0&amp;imgProID=THUOEMENO07&amp;strUserType=Live","Thuja occidentalis 'Emerald'")</f>
        <v>Thuja occidentalis 'Emerald'</v>
      </c>
      <c r="B163" s="32" t="s">
        <v>27</v>
      </c>
      <c r="C163" s="32"/>
      <c r="D163" s="33">
        <v>42</v>
      </c>
      <c r="E163" s="34"/>
      <c r="F163" s="35">
        <v>183</v>
      </c>
      <c r="G163" s="32">
        <v>793</v>
      </c>
      <c r="H163" s="37">
        <v>0</v>
      </c>
      <c r="I163" s="38">
        <f t="shared" si="3"/>
        <v>0</v>
      </c>
    </row>
    <row r="164" spans="1:9" ht="10.199999999999999" customHeight="1" x14ac:dyDescent="0.3">
      <c r="A164" s="32" t="str">
        <f>HYPERLINK("http://avail.sbinursery.com/LiveInventoryDetail.aspx?CustomerID=954&amp;intItemKey=1395&amp;ProductID=THUOFIRNO03&amp;wWidth=700&amp;wHeight=510&amp;intHort=0&amp;imgProID=THUOFIRNO03&amp;strUserType=Live","Thuja o. 'Congabe' PP19009 Fire Chief™")</f>
        <v>Thuja o. 'Congabe' PP19009 Fire Chief™</v>
      </c>
      <c r="B164" s="32" t="s">
        <v>22</v>
      </c>
      <c r="C164" s="32"/>
      <c r="D164" s="33">
        <v>27</v>
      </c>
      <c r="E164" s="34"/>
      <c r="F164" s="35">
        <v>625</v>
      </c>
      <c r="G164" s="32">
        <v>0</v>
      </c>
      <c r="H164" s="37">
        <v>0</v>
      </c>
      <c r="I164" s="38">
        <f t="shared" si="3"/>
        <v>0</v>
      </c>
    </row>
    <row r="165" spans="1:9" ht="10.199999999999999" customHeight="1" x14ac:dyDescent="0.3">
      <c r="A165" s="32" t="str">
        <f>HYPERLINK("http://avail.sbinursery.com/LiveInventoryDetail.aspx?CustomerID=954&amp;intItemKey=690&amp;ProductID=THUOMIDNO03&amp;wWidth=700&amp;wHeight=510&amp;intHort=0&amp;imgProID=THUOMIDNO03&amp;strUserType=Live","Thuja occidentalis 'Hetz Midget'")</f>
        <v>Thuja occidentalis 'Hetz Midget'</v>
      </c>
      <c r="B165" s="32" t="s">
        <v>22</v>
      </c>
      <c r="C165" s="32"/>
      <c r="D165" s="33">
        <v>19.5</v>
      </c>
      <c r="E165" s="34"/>
      <c r="F165" s="35">
        <v>0</v>
      </c>
      <c r="G165" s="32">
        <v>63</v>
      </c>
      <c r="H165" s="37">
        <v>0</v>
      </c>
      <c r="I165" s="38">
        <f t="shared" si="3"/>
        <v>0</v>
      </c>
    </row>
    <row r="166" spans="1:9" ht="10.199999999999999" customHeight="1" x14ac:dyDescent="0.3">
      <c r="A166" s="32" t="str">
        <f>HYPERLINK("http://avail.sbinursery.com/LiveInventoryDetail.aspx?CustomerID=954&amp;intItemKey=1971&amp;ProductID=THUOTHUNO03&amp;wWidth=700&amp;wHeight=510&amp;intHort=0&amp;imgProID=THUOTHUNO03&amp;strUserType=Live","Thuja occidentalis 'Thusid4' Emerald Petite™")</f>
        <v>Thuja occidentalis 'Thusid4' Emerald Petite™</v>
      </c>
      <c r="B166" s="32" t="s">
        <v>22</v>
      </c>
      <c r="C166" s="32"/>
      <c r="D166" s="33">
        <v>29.5</v>
      </c>
      <c r="E166" s="34"/>
      <c r="F166" s="35">
        <v>112</v>
      </c>
      <c r="G166" s="32">
        <v>0</v>
      </c>
      <c r="H166" s="37">
        <v>0</v>
      </c>
      <c r="I166" s="38">
        <f t="shared" si="3"/>
        <v>0</v>
      </c>
    </row>
    <row r="167" spans="1:9" ht="10.199999999999999" customHeight="1" x14ac:dyDescent="0.3">
      <c r="A167" s="32" t="str">
        <f>HYPERLINK("http://avail.sbinursery.com/LiveInventoryDetail.aspx?CustomerID=954&amp;intItemKey=697&amp;ProductID=THUOWOONO05&amp;wWidth=700&amp;wHeight=510&amp;intHort=0&amp;imgProID=THUOWOONO05&amp;strUserType=Live","Thuja occidentalis 'Woodwardii''")</f>
        <v>Thuja occidentalis 'Woodwardii''</v>
      </c>
      <c r="B167" s="32" t="s">
        <v>24</v>
      </c>
      <c r="C167" s="32"/>
      <c r="D167" s="33">
        <v>26</v>
      </c>
      <c r="E167" s="34"/>
      <c r="F167" s="35">
        <v>28</v>
      </c>
      <c r="G167" s="32">
        <v>0</v>
      </c>
      <c r="H167" s="37">
        <v>0</v>
      </c>
      <c r="I167" s="38">
        <f t="shared" si="3"/>
        <v>0</v>
      </c>
    </row>
    <row r="168" spans="1:9" ht="10.199999999999999" customHeight="1" x14ac:dyDescent="0.3">
      <c r="A168" s="32" t="str">
        <f>HYPERLINK("http://avail.sbinursery.com/LiveInventoryDetail.aspx?CustomerID=954&amp;intItemKey=700&amp;ProductID=THUPGGINO07&amp;wWidth=700&amp;wHeight=510&amp;intHort=0&amp;imgProID=THUPGGINO07&amp;strUserType=Live","Thuja x 'Green Giant'")</f>
        <v>Thuja x 'Green Giant'</v>
      </c>
      <c r="B168" s="32" t="s">
        <v>27</v>
      </c>
      <c r="C168" s="32"/>
      <c r="D168" s="33">
        <v>42</v>
      </c>
      <c r="E168" s="34"/>
      <c r="F168" s="35">
        <v>224</v>
      </c>
      <c r="G168" s="32">
        <v>499</v>
      </c>
      <c r="H168" s="37">
        <v>0</v>
      </c>
      <c r="I168" s="38">
        <f t="shared" si="3"/>
        <v>0</v>
      </c>
    </row>
    <row r="169" spans="1:9" ht="10.199999999999999" customHeight="1" x14ac:dyDescent="0.3">
      <c r="A169" s="32" t="str">
        <f>HYPERLINK("http://avail.sbinursery.com/LiveInventoryDetail.aspx?CustomerID=954&amp;intItemKey=1964&amp;ProductID=THUPLEPNO07&amp;wWidth=700&amp;wHeight=510&amp;intHort=0&amp;imgProID=0&amp;strUserType=Live","Thuja plicata x standishii 'Leprechaun'")</f>
        <v>Thuja plicata x standishii 'Leprechaun'</v>
      </c>
      <c r="B169" s="32" t="s">
        <v>27</v>
      </c>
      <c r="C169" s="32"/>
      <c r="D169" s="33">
        <v>58</v>
      </c>
      <c r="E169" s="34"/>
      <c r="F169" s="35">
        <v>0</v>
      </c>
      <c r="G169" s="32">
        <v>242</v>
      </c>
      <c r="H169" s="37">
        <v>0</v>
      </c>
      <c r="I169" s="38">
        <f t="shared" si="3"/>
        <v>0</v>
      </c>
    </row>
    <row r="170" spans="1:9" ht="18" x14ac:dyDescent="0.3">
      <c r="A170" s="26" t="s">
        <v>32</v>
      </c>
      <c r="B170" s="27"/>
      <c r="C170" s="28"/>
      <c r="D170" s="29"/>
      <c r="E170" s="28"/>
      <c r="F170" s="30"/>
      <c r="G170" s="30"/>
      <c r="H170" s="31"/>
    </row>
    <row r="171" spans="1:9" ht="10.199999999999999" customHeight="1" x14ac:dyDescent="0.3">
      <c r="A171" s="32" t="str">
        <f>HYPERLINK("http://avail.sbinursery.com/LiveInventoryDetail.aspx?CustomerID=954&amp;intItemKey=30&amp;ProductID=ACEJBLONO07&amp;wWidth=700&amp;wHeight=510&amp;intHort=0&amp;imgProID=ACEJBLONO07&amp;strUserType=Live","Acer palmatum 'Bloodgood'")</f>
        <v>Acer palmatum 'Bloodgood'</v>
      </c>
      <c r="B171" s="32" t="s">
        <v>27</v>
      </c>
      <c r="C171" s="32"/>
      <c r="D171" s="33">
        <v>78</v>
      </c>
      <c r="E171" s="34"/>
      <c r="F171" s="35">
        <v>33</v>
      </c>
      <c r="G171" s="32">
        <v>13</v>
      </c>
      <c r="H171" s="37">
        <v>0</v>
      </c>
      <c r="I171" s="38">
        <f t="shared" ref="I171:I201" si="4">PRODUCT(D171,H171)</f>
        <v>0</v>
      </c>
    </row>
    <row r="172" spans="1:9" ht="10.199999999999999" customHeight="1" x14ac:dyDescent="0.3">
      <c r="A172" s="32" t="str">
        <f>HYPERLINK("http://avail.sbinursery.com/LiveInventoryDetail.aspx?CustomerID=954&amp;intItemKey=30&amp;ProductID=ACEJBLONO10&amp;wWidth=700&amp;wHeight=510&amp;intHort=0&amp;imgProID=ACEJBLONO10&amp;strUserType=Live","Acer palmatum 'Bloodgood'")</f>
        <v>Acer palmatum 'Bloodgood'</v>
      </c>
      <c r="B172" s="32" t="s">
        <v>33</v>
      </c>
      <c r="C172" s="32"/>
      <c r="D172" s="33">
        <v>95</v>
      </c>
      <c r="E172" s="34"/>
      <c r="F172" s="35">
        <v>0</v>
      </c>
      <c r="G172" s="32">
        <v>116</v>
      </c>
      <c r="H172" s="37">
        <v>0</v>
      </c>
      <c r="I172" s="38">
        <f t="shared" si="4"/>
        <v>0</v>
      </c>
    </row>
    <row r="173" spans="1:9" ht="10.199999999999999" customHeight="1" x14ac:dyDescent="0.3">
      <c r="A173" s="32" t="str">
        <f>HYPERLINK("http://avail.sbinursery.com/LiveInventoryDetail.aspx?CustomerID=954&amp;intItemKey=1853&amp;ProductID=ACEJQUENO07&amp;wWidth=700&amp;wHeight=510&amp;intHort=0&amp;imgProID=0&amp;strUserType=Live","Acer p. v. d. 'Crimson Queen'")</f>
        <v>Acer p. v. d. 'Crimson Queen'</v>
      </c>
      <c r="B173" s="32" t="s">
        <v>27</v>
      </c>
      <c r="C173" s="32"/>
      <c r="D173" s="33">
        <v>152</v>
      </c>
      <c r="E173" s="34"/>
      <c r="F173" s="35">
        <v>0</v>
      </c>
      <c r="G173" s="32">
        <v>2</v>
      </c>
      <c r="H173" s="37">
        <v>0</v>
      </c>
      <c r="I173" s="38">
        <f t="shared" si="4"/>
        <v>0</v>
      </c>
    </row>
    <row r="174" spans="1:9" ht="10.199999999999999" customHeight="1" x14ac:dyDescent="0.3">
      <c r="A174" s="32" t="str">
        <f>HYPERLINK("http://avail.sbinursery.com/LiveInventoryDetail.aspx?CustomerID=954&amp;intItemKey=1853&amp;ProductID=ACEJQUENO10&amp;wWidth=700&amp;wHeight=510&amp;intHort=0&amp;imgProID=0&amp;strUserType=Live","Acer p. v. d. 'Crimson Queen'")</f>
        <v>Acer p. v. d. 'Crimson Queen'</v>
      </c>
      <c r="B174" s="32" t="s">
        <v>33</v>
      </c>
      <c r="C174" s="32"/>
      <c r="D174" s="33">
        <v>168</v>
      </c>
      <c r="E174" s="34"/>
      <c r="F174" s="35">
        <v>0</v>
      </c>
      <c r="G174" s="32">
        <v>35</v>
      </c>
      <c r="H174" s="37">
        <v>0</v>
      </c>
      <c r="I174" s="38">
        <f t="shared" si="4"/>
        <v>0</v>
      </c>
    </row>
    <row r="175" spans="1:9" ht="10.199999999999999" customHeight="1" x14ac:dyDescent="0.3">
      <c r="A175" s="32" t="str">
        <f>HYPERLINK("http://avail.sbinursery.com/LiveInventoryDetail.aspx?CustomerID=954&amp;intItemKey=33&amp;ProductID=ACEJTAMNO05&amp;wWidth=700&amp;wHeight=510&amp;intHort=0&amp;imgProID=0&amp;strUserType=Live","Acer p. d. 'Tamukeyama'")</f>
        <v>Acer p. d. 'Tamukeyama'</v>
      </c>
      <c r="B175" s="32" t="s">
        <v>24</v>
      </c>
      <c r="C175" s="32"/>
      <c r="D175" s="33">
        <v>140</v>
      </c>
      <c r="E175" s="34"/>
      <c r="F175" s="35">
        <v>28</v>
      </c>
      <c r="G175" s="32">
        <v>0</v>
      </c>
      <c r="H175" s="37">
        <v>0</v>
      </c>
      <c r="I175" s="38">
        <f t="shared" si="4"/>
        <v>0</v>
      </c>
    </row>
    <row r="176" spans="1:9" ht="10.199999999999999" customHeight="1" x14ac:dyDescent="0.3">
      <c r="A176" s="32" t="str">
        <f>HYPERLINK("http://avail.sbinursery.com/LiveInventoryDetail.aspx?CustomerID=954&amp;intItemKey=33&amp;ProductID=ACEJTAMNO07&amp;wWidth=700&amp;wHeight=510&amp;intHort=0&amp;imgProID=0&amp;strUserType=Live","Acer p. d. 'Tamukeyama'")</f>
        <v>Acer p. d. 'Tamukeyama'</v>
      </c>
      <c r="B176" s="32" t="s">
        <v>27</v>
      </c>
      <c r="C176" s="32"/>
      <c r="D176" s="33">
        <v>152</v>
      </c>
      <c r="E176" s="34"/>
      <c r="F176" s="35">
        <v>43</v>
      </c>
      <c r="G176" s="32">
        <v>0</v>
      </c>
      <c r="H176" s="37">
        <v>0</v>
      </c>
      <c r="I176" s="38">
        <f t="shared" si="4"/>
        <v>0</v>
      </c>
    </row>
    <row r="177" spans="1:9" ht="10.199999999999999" customHeight="1" x14ac:dyDescent="0.3">
      <c r="A177" s="32" t="str">
        <f>HYPERLINK("http://avail.sbinursery.com/LiveInventoryDetail.aspx?CustomerID=954&amp;intItemKey=33&amp;ProductID=ACEJTAMNO10&amp;wWidth=700&amp;wHeight=510&amp;intHort=0&amp;imgProID=ACEJTAMNO10&amp;strUserType=Live","Acer p. d. 'Tamukeyama'")</f>
        <v>Acer p. d. 'Tamukeyama'</v>
      </c>
      <c r="B177" s="32" t="s">
        <v>33</v>
      </c>
      <c r="C177" s="32"/>
      <c r="D177" s="33">
        <v>168</v>
      </c>
      <c r="E177" s="34"/>
      <c r="F177" s="35">
        <v>0</v>
      </c>
      <c r="G177" s="32">
        <v>47</v>
      </c>
      <c r="H177" s="37">
        <v>0</v>
      </c>
      <c r="I177" s="38">
        <f t="shared" si="4"/>
        <v>0</v>
      </c>
    </row>
    <row r="178" spans="1:9" ht="10.199999999999999" customHeight="1" x14ac:dyDescent="0.3">
      <c r="A178" s="32" t="str">
        <f>HYPERLINK("http://avail.sbinursery.com/LiveInventoryDetail.aspx?CustomerID=954&amp;intItemKey=1808&amp;ProductID=AESGLABNO10&amp;wWidth=700&amp;wHeight=510&amp;intHort=0&amp;imgProID=0&amp;strUserType=Live","Aesculus glabra")</f>
        <v>Aesculus glabra</v>
      </c>
      <c r="B178" s="32" t="s">
        <v>33</v>
      </c>
      <c r="C178" s="32"/>
      <c r="D178" s="33">
        <v>120</v>
      </c>
      <c r="E178" s="34"/>
      <c r="F178" s="35">
        <v>5</v>
      </c>
      <c r="G178" s="32">
        <v>0</v>
      </c>
      <c r="H178" s="37">
        <v>0</v>
      </c>
      <c r="I178" s="38">
        <f t="shared" si="4"/>
        <v>0</v>
      </c>
    </row>
    <row r="179" spans="1:9" ht="10.199999999999999" customHeight="1" x14ac:dyDescent="0.3">
      <c r="A179" s="32" t="str">
        <f>HYPERLINK("http://avail.sbinursery.com/LiveInventoryDetail.aspx?CustomerID=954&amp;intItemKey=2015&amp;ProductID=AMESTOLNO10C&amp;wWidth=700&amp;wHeight=510&amp;intHort=0&amp;imgProID=0&amp;strUserType=Live","Amelanchier stolonifera CLP")</f>
        <v>Amelanchier stolonifera CLP</v>
      </c>
      <c r="B179" s="32" t="s">
        <v>34</v>
      </c>
      <c r="C179" s="32"/>
      <c r="D179" s="33">
        <v>85</v>
      </c>
      <c r="E179" s="34"/>
      <c r="F179" s="35">
        <v>107</v>
      </c>
      <c r="G179" s="32">
        <v>0</v>
      </c>
      <c r="H179" s="37">
        <v>0</v>
      </c>
      <c r="I179" s="38">
        <f t="shared" si="4"/>
        <v>0</v>
      </c>
    </row>
    <row r="180" spans="1:9" ht="10.199999999999999" customHeight="1" x14ac:dyDescent="0.3">
      <c r="A180" s="32" t="str">
        <f>HYPERLINK("http://avail.sbinursery.com/LiveInventoryDetail.aspx?CustomerID=954&amp;intItemKey=76&amp;ProductID=AMEXBRINO10C&amp;wWidth=700&amp;wHeight=510&amp;intHort=0&amp;imgProID=AMEXBRINO10C&amp;strUserType=Live","Amelanchier x 'Autumn Brilliance' CLP")</f>
        <v>Amelanchier x 'Autumn Brilliance' CLP</v>
      </c>
      <c r="B180" s="32" t="s">
        <v>34</v>
      </c>
      <c r="C180" s="32"/>
      <c r="D180" s="33">
        <v>85</v>
      </c>
      <c r="E180" s="34"/>
      <c r="F180" s="35">
        <v>18</v>
      </c>
      <c r="G180" s="32">
        <v>0</v>
      </c>
      <c r="H180" s="37">
        <v>0</v>
      </c>
      <c r="I180" s="38">
        <f t="shared" si="4"/>
        <v>0</v>
      </c>
    </row>
    <row r="181" spans="1:9" ht="10.199999999999999" customHeight="1" x14ac:dyDescent="0.3">
      <c r="A181" s="32" t="str">
        <f>HYPERLINK("http://avail.sbinursery.com/LiveInventoryDetail.aspx?CustomerID=954&amp;intItemKey=1518&amp;ProductID=BETNHERNO10M&amp;wWidth=700&amp;wHeight=510&amp;intHort=0&amp;imgProID=BETNHERNO10M&amp;strUserType=Live","Betula nigra 'Cully' Heritage® MS")</f>
        <v>Betula nigra 'Cully' Heritage® MS</v>
      </c>
      <c r="B181" s="32" t="s">
        <v>35</v>
      </c>
      <c r="C181" s="32"/>
      <c r="D181" s="33">
        <v>98</v>
      </c>
      <c r="E181" s="34"/>
      <c r="F181" s="35">
        <v>18</v>
      </c>
      <c r="G181" s="32">
        <v>0</v>
      </c>
      <c r="H181" s="37">
        <v>0</v>
      </c>
      <c r="I181" s="38">
        <f t="shared" si="4"/>
        <v>0</v>
      </c>
    </row>
    <row r="182" spans="1:9" ht="10.199999999999999" customHeight="1" x14ac:dyDescent="0.3">
      <c r="A182" s="32" t="str">
        <f>HYPERLINK("http://avail.sbinursery.com/LiveInventoryDetail.aspx?CustomerID=954&amp;intItemKey=859&amp;ProductID=BETPWHINO15C&amp;wWidth=700&amp;wHeight=510&amp;intHort=0&amp;imgProID=0&amp;strUserType=Live","Betula populifolia 'Whitespire' CLP")</f>
        <v>Betula populifolia 'Whitespire' CLP</v>
      </c>
      <c r="B182" s="32" t="s">
        <v>36</v>
      </c>
      <c r="C182" s="32"/>
      <c r="D182" s="33">
        <v>142</v>
      </c>
      <c r="E182" s="34"/>
      <c r="F182" s="35">
        <v>45</v>
      </c>
      <c r="G182" s="32">
        <v>0</v>
      </c>
      <c r="H182" s="37">
        <v>0</v>
      </c>
      <c r="I182" s="38">
        <f t="shared" si="4"/>
        <v>0</v>
      </c>
    </row>
    <row r="183" spans="1:9" ht="10.199999999999999" customHeight="1" x14ac:dyDescent="0.3">
      <c r="A183" s="32" t="str">
        <f>HYPERLINK("http://avail.sbinursery.com/LiveInventoryDetail.aspx?CustomerID=954&amp;intItemKey=812&amp;ProductID=CERCANANO10&amp;wWidth=700&amp;wHeight=510&amp;intHort=0&amp;imgProID=CERCANANO10&amp;strUserType=Live","Cercis canadensis")</f>
        <v>Cercis canadensis</v>
      </c>
      <c r="B183" s="32" t="s">
        <v>33</v>
      </c>
      <c r="C183" s="32"/>
      <c r="D183" s="33">
        <v>102</v>
      </c>
      <c r="E183" s="34"/>
      <c r="F183" s="35">
        <v>34</v>
      </c>
      <c r="G183" s="32">
        <v>0</v>
      </c>
      <c r="H183" s="37">
        <v>0</v>
      </c>
      <c r="I183" s="38">
        <f t="shared" si="4"/>
        <v>0</v>
      </c>
    </row>
    <row r="184" spans="1:9" ht="10.199999999999999" customHeight="1" x14ac:dyDescent="0.3">
      <c r="A184" s="32" t="str">
        <f>HYPERLINK("http://avail.sbinursery.com/LiveInventoryDetail.aspx?CustomerID=954&amp;intItemKey=143&amp;ProductID=CERCANANO10C&amp;wWidth=700&amp;wHeight=510&amp;intHort=0&amp;imgProID=CERCANANO10C&amp;strUserType=Live","Cercis canadensis CLP")</f>
        <v>Cercis canadensis CLP</v>
      </c>
      <c r="B184" s="32" t="s">
        <v>34</v>
      </c>
      <c r="C184" s="32"/>
      <c r="D184" s="33">
        <v>102</v>
      </c>
      <c r="E184" s="34"/>
      <c r="F184" s="35">
        <v>81</v>
      </c>
      <c r="G184" s="32">
        <v>0</v>
      </c>
      <c r="H184" s="37">
        <v>0</v>
      </c>
      <c r="I184" s="38">
        <f t="shared" si="4"/>
        <v>0</v>
      </c>
    </row>
    <row r="185" spans="1:9" ht="10.199999999999999" customHeight="1" x14ac:dyDescent="0.3">
      <c r="A185" s="32" t="str">
        <f>HYPERLINK("http://avail.sbinursery.com/LiveInventoryDetail.aspx?CustomerID=954&amp;intItemKey=141&amp;ProductID=CERCPANNO10&amp;wWidth=700&amp;wHeight=510&amp;intHort=0&amp;imgProID=CERCPANNO10&amp;strUserType=Live","Cercis canadensis 'Forest Pansy'")</f>
        <v>Cercis canadensis 'Forest Pansy'</v>
      </c>
      <c r="B185" s="32" t="s">
        <v>33</v>
      </c>
      <c r="C185" s="32"/>
      <c r="D185" s="33">
        <v>135</v>
      </c>
      <c r="E185" s="34"/>
      <c r="F185" s="35">
        <v>58</v>
      </c>
      <c r="G185" s="32">
        <v>0</v>
      </c>
      <c r="H185" s="37">
        <v>0</v>
      </c>
      <c r="I185" s="38">
        <f t="shared" si="4"/>
        <v>0</v>
      </c>
    </row>
    <row r="186" spans="1:9" ht="10.199999999999999" customHeight="1" x14ac:dyDescent="0.3">
      <c r="A186" s="32" t="str">
        <f>HYPERLINK("http://avail.sbinursery.com/LiveInventoryDetail.aspx?CustomerID=954&amp;intItemKey=184&amp;ProductID=CORKOUSNO05C&amp;wWidth=700&amp;wHeight=510&amp;intHort=0&amp;imgProID=CORKOUSNO05C&amp;strUserType=Live","Cornus kousa CLP")</f>
        <v>Cornus kousa CLP</v>
      </c>
      <c r="B186" s="32" t="s">
        <v>37</v>
      </c>
      <c r="C186" s="32"/>
      <c r="D186" s="33">
        <v>45</v>
      </c>
      <c r="E186" s="34"/>
      <c r="F186" s="35">
        <v>4</v>
      </c>
      <c r="G186" s="32">
        <v>0</v>
      </c>
      <c r="H186" s="37">
        <v>0</v>
      </c>
      <c r="I186" s="38">
        <f t="shared" si="4"/>
        <v>0</v>
      </c>
    </row>
    <row r="187" spans="1:9" ht="10.199999999999999" customHeight="1" x14ac:dyDescent="0.3">
      <c r="A187" s="32" t="str">
        <f>HYPERLINK("http://avail.sbinursery.com/LiveInventoryDetail.aspx?CustomerID=954&amp;intItemKey=814&amp;ProductID=CORKOUSNO07&amp;wWidth=700&amp;wHeight=510&amp;intHort=0&amp;imgProID=0&amp;strUserType=Live","Cornus kousa")</f>
        <v>Cornus kousa</v>
      </c>
      <c r="B187" s="32" t="s">
        <v>27</v>
      </c>
      <c r="C187" s="32"/>
      <c r="D187" s="33">
        <v>85</v>
      </c>
      <c r="E187" s="34"/>
      <c r="F187" s="35">
        <v>3</v>
      </c>
      <c r="G187" s="32">
        <v>0</v>
      </c>
      <c r="H187" s="37">
        <v>0</v>
      </c>
      <c r="I187" s="38">
        <f t="shared" si="4"/>
        <v>0</v>
      </c>
    </row>
    <row r="188" spans="1:9" ht="10.199999999999999" customHeight="1" x14ac:dyDescent="0.3">
      <c r="A188" s="32" t="str">
        <f>HYPERLINK("http://avail.sbinursery.com/LiveInventoryDetail.aspx?CustomerID=954&amp;intItemKey=184&amp;ProductID=CORKOUSNO10C&amp;wWidth=700&amp;wHeight=510&amp;intHort=0&amp;imgProID=CORKOUSNO10C&amp;strUserType=Live","Cornus kousa CLP")</f>
        <v>Cornus kousa CLP</v>
      </c>
      <c r="B188" s="32" t="s">
        <v>34</v>
      </c>
      <c r="C188" s="32"/>
      <c r="D188" s="33">
        <v>68</v>
      </c>
      <c r="E188" s="34"/>
      <c r="F188" s="35">
        <v>1</v>
      </c>
      <c r="G188" s="32">
        <v>0</v>
      </c>
      <c r="H188" s="37">
        <v>0</v>
      </c>
      <c r="I188" s="38">
        <f t="shared" si="4"/>
        <v>0</v>
      </c>
    </row>
    <row r="189" spans="1:9" ht="10.199999999999999" customHeight="1" x14ac:dyDescent="0.3">
      <c r="A189" s="32" t="str">
        <f>HYPERLINK("http://avail.sbinursery.com/LiveInventoryDetail.aspx?CustomerID=954&amp;intItemKey=1826&amp;ProductID=CORKSCANO07&amp;wWidth=700&amp;wHeight=510&amp;intHort=0&amp;imgProID=0&amp;strUserType=Live","Cornus kousa 'Rutpink' PP28311 Scarlet Fire®")</f>
        <v>Cornus kousa 'Rutpink' PP28311 Scarlet Fire®</v>
      </c>
      <c r="B189" s="32" t="s">
        <v>27</v>
      </c>
      <c r="C189" s="32"/>
      <c r="D189" s="33">
        <v>125</v>
      </c>
      <c r="E189" s="34"/>
      <c r="F189" s="35">
        <v>91</v>
      </c>
      <c r="G189" s="32">
        <v>0</v>
      </c>
      <c r="H189" s="37">
        <v>0</v>
      </c>
      <c r="I189" s="38">
        <f t="shared" si="4"/>
        <v>0</v>
      </c>
    </row>
    <row r="190" spans="1:9" ht="10.199999999999999" customHeight="1" x14ac:dyDescent="0.3">
      <c r="A190" s="32" t="str">
        <f>HYPERLINK("http://avail.sbinursery.com/LiveInventoryDetail.aspx?CustomerID=954&amp;intItemKey=299&amp;ProductID=HEPMICONO07C&amp;wWidth=700&amp;wHeight=510&amp;intHort=0&amp;imgProID=HEPMICONO07C&amp;strUserType=Live","Heptacodium miconioides CLP")</f>
        <v>Heptacodium miconioides CLP</v>
      </c>
      <c r="B190" s="32" t="s">
        <v>38</v>
      </c>
      <c r="C190" s="32"/>
      <c r="D190" s="33">
        <v>58</v>
      </c>
      <c r="E190" s="34"/>
      <c r="F190" s="35">
        <v>58</v>
      </c>
      <c r="G190" s="32">
        <v>0</v>
      </c>
      <c r="H190" s="37">
        <v>0</v>
      </c>
      <c r="I190" s="38">
        <f t="shared" si="4"/>
        <v>0</v>
      </c>
    </row>
    <row r="191" spans="1:9" ht="10.199999999999999" customHeight="1" x14ac:dyDescent="0.3">
      <c r="A191" s="32" t="str">
        <f>HYPERLINK("http://avail.sbinursery.com/LiveInventoryDetail.aspx?CustomerID=954&amp;intItemKey=1829&amp;ProductID=HEPMTIANO07&amp;wWidth=700&amp;wHeight=510&amp;intHort=0&amp;imgProID=HEPMTIANO07&amp;strUserType=Live","Heptacodium miconioides 'Minhep' First Editions® Tianshan®")</f>
        <v>Heptacodium miconioides 'Minhep' First Editions® Tianshan®</v>
      </c>
      <c r="B191" s="32" t="s">
        <v>27</v>
      </c>
      <c r="C191" s="32"/>
      <c r="D191" s="33">
        <v>58</v>
      </c>
      <c r="E191" s="34"/>
      <c r="F191" s="35">
        <v>1</v>
      </c>
      <c r="G191" s="32">
        <v>0</v>
      </c>
      <c r="H191" s="37">
        <v>0</v>
      </c>
      <c r="I191" s="38">
        <f t="shared" si="4"/>
        <v>0</v>
      </c>
    </row>
    <row r="192" spans="1:9" ht="10.199999999999999" customHeight="1" x14ac:dyDescent="0.3">
      <c r="A192" s="32" t="str">
        <f>HYPERLINK("http://avail.sbinursery.com/LiveInventoryDetail.aspx?CustomerID=954&amp;intItemKey=457&amp;ProductID=MALHGOLNO10&amp;wWidth=700&amp;wHeight=510&amp;intHort=0&amp;imgProID=MALHGOLNO10&amp;strUserType=Live","Malus 'Hargozam' Harvest Gold®")</f>
        <v>Malus 'Hargozam' Harvest Gold®</v>
      </c>
      <c r="B192" s="32" t="s">
        <v>33</v>
      </c>
      <c r="C192" s="32"/>
      <c r="D192" s="33">
        <v>118</v>
      </c>
      <c r="E192" s="34"/>
      <c r="F192" s="35">
        <v>2</v>
      </c>
      <c r="G192" s="32">
        <v>0</v>
      </c>
      <c r="H192" s="37">
        <v>0</v>
      </c>
      <c r="I192" s="38">
        <f t="shared" si="4"/>
        <v>0</v>
      </c>
    </row>
    <row r="193" spans="1:9" ht="10.199999999999999" customHeight="1" x14ac:dyDescent="0.3">
      <c r="A193" s="32" t="str">
        <f>HYPERLINK("http://avail.sbinursery.com/LiveInventoryDetail.aspx?CustomerID=954&amp;intItemKey=836&amp;ProductID=MALREJONO10&amp;wWidth=700&amp;wHeight=510&amp;intHort=0&amp;imgProID=MALREJONO10&amp;strUserType=Live","Malus 'Rejzam' Rejoice™")</f>
        <v>Malus 'Rejzam' Rejoice™</v>
      </c>
      <c r="B193" s="32" t="s">
        <v>33</v>
      </c>
      <c r="C193" s="32"/>
      <c r="D193" s="33">
        <v>118</v>
      </c>
      <c r="E193" s="34"/>
      <c r="F193" s="35">
        <v>69</v>
      </c>
      <c r="G193" s="32">
        <v>0</v>
      </c>
      <c r="H193" s="37">
        <v>0</v>
      </c>
      <c r="I193" s="38">
        <f t="shared" si="4"/>
        <v>0</v>
      </c>
    </row>
    <row r="194" spans="1:9" ht="10.199999999999999" customHeight="1" x14ac:dyDescent="0.3">
      <c r="A194" s="32" t="str">
        <f>HYPERLINK("http://avail.sbinursery.com/LiveInventoryDetail.aspx?CustomerID=954&amp;intItemKey=838&amp;ProductID=MALSTYMNO10&amp;wWidth=700&amp;wHeight=510&amp;intHort=0&amp;imgProID=MALSTYMNO10&amp;strUserType=Live","Malus 'Sutyzam' Sugar Tyme®")</f>
        <v>Malus 'Sutyzam' Sugar Tyme®</v>
      </c>
      <c r="B194" s="32" t="s">
        <v>33</v>
      </c>
      <c r="C194" s="32"/>
      <c r="D194" s="33">
        <v>118</v>
      </c>
      <c r="E194" s="34"/>
      <c r="F194" s="35">
        <v>2</v>
      </c>
      <c r="G194" s="32">
        <v>0</v>
      </c>
      <c r="H194" s="37">
        <v>0</v>
      </c>
      <c r="I194" s="38">
        <f t="shared" si="4"/>
        <v>0</v>
      </c>
    </row>
    <row r="195" spans="1:9" ht="10.199999999999999" customHeight="1" x14ac:dyDescent="0.3">
      <c r="A195" s="32" t="str">
        <f>HYPERLINK("http://avail.sbinursery.com/LiveInventoryDetail.aspx?CustomerID=954&amp;intItemKey=1430&amp;ProductID=NYSSTUPNO10&amp;wWidth=700&amp;wHeight=510&amp;intHort=0&amp;imgProID=NYSSTUPNO10&amp;strUserType=Live","Nyssa sylvatica 'WFH1' PP22976 Tupelo Tower™")</f>
        <v>Nyssa sylvatica 'WFH1' PP22976 Tupelo Tower™</v>
      </c>
      <c r="B195" s="32" t="s">
        <v>33</v>
      </c>
      <c r="C195" s="32"/>
      <c r="D195" s="33">
        <v>135</v>
      </c>
      <c r="E195" s="34"/>
      <c r="F195" s="35">
        <v>5</v>
      </c>
      <c r="G195" s="32">
        <v>0</v>
      </c>
      <c r="H195" s="37">
        <v>0</v>
      </c>
      <c r="I195" s="38">
        <f t="shared" si="4"/>
        <v>0</v>
      </c>
    </row>
    <row r="196" spans="1:9" ht="10.199999999999999" customHeight="1" x14ac:dyDescent="0.3">
      <c r="A196" s="32" t="str">
        <f>HYPERLINK("http://avail.sbinursery.com/LiveInventoryDetail.aspx?CustomerID=954&amp;intItemKey=501&amp;ProductID=NYSSYLVNO10&amp;wWidth=700&amp;wHeight=510&amp;intHort=0&amp;imgProID=NYSSYLVNO10&amp;strUserType=Live","Nyssa sylvatica")</f>
        <v>Nyssa sylvatica</v>
      </c>
      <c r="B196" s="32" t="s">
        <v>33</v>
      </c>
      <c r="C196" s="32"/>
      <c r="D196" s="33">
        <v>115</v>
      </c>
      <c r="E196" s="34"/>
      <c r="F196" s="35">
        <v>45</v>
      </c>
      <c r="G196" s="32">
        <v>0</v>
      </c>
      <c r="H196" s="37">
        <v>0</v>
      </c>
      <c r="I196" s="38">
        <f t="shared" si="4"/>
        <v>0</v>
      </c>
    </row>
    <row r="197" spans="1:9" ht="10.199999999999999" customHeight="1" x14ac:dyDescent="0.3">
      <c r="A197" s="32" t="str">
        <f>HYPERLINK("http://avail.sbinursery.com/LiveInventoryDetail.aspx?CustomerID=954&amp;intItemKey=541&amp;ProductID=PICPGLONO10A&amp;wWidth=700&amp;wHeight=510&amp;intHort=0&amp;imgProID=PICPGLONO10A&amp;strUserType=Live","Picea pungens 'Glauca Globosa'")</f>
        <v>Picea pungens 'Glauca Globosa'</v>
      </c>
      <c r="B197" s="32" t="s">
        <v>30</v>
      </c>
      <c r="C197" s="32"/>
      <c r="D197" s="33">
        <v>148</v>
      </c>
      <c r="E197" s="34"/>
      <c r="F197" s="35">
        <v>7</v>
      </c>
      <c r="G197" s="32">
        <v>0</v>
      </c>
      <c r="H197" s="37">
        <v>0</v>
      </c>
      <c r="I197" s="38">
        <f t="shared" si="4"/>
        <v>0</v>
      </c>
    </row>
    <row r="198" spans="1:9" ht="10.199999999999999" customHeight="1" x14ac:dyDescent="0.3">
      <c r="A198" s="32" t="str">
        <f>HYPERLINK("http://avail.sbinursery.com/LiveInventoryDetail.aspx?CustomerID=954&amp;intItemKey=1045&amp;ProductID=PRUXSNONO104&amp;wWidth=700&amp;wHeight=510&amp;intHort=0&amp;imgProID=PRUXSNONO104&amp;strUserType=Live","Prunus x 'Snofozam' Snow Fountains® TG 4'")</f>
        <v>Prunus x 'Snofozam' Snow Fountains® TG 4'</v>
      </c>
      <c r="B198" s="32" t="s">
        <v>39</v>
      </c>
      <c r="C198" s="32"/>
      <c r="D198" s="33">
        <v>115</v>
      </c>
      <c r="E198" s="34"/>
      <c r="F198" s="35">
        <v>41</v>
      </c>
      <c r="G198" s="32">
        <v>0</v>
      </c>
      <c r="H198" s="37">
        <v>0</v>
      </c>
      <c r="I198" s="38">
        <f t="shared" si="4"/>
        <v>0</v>
      </c>
    </row>
    <row r="199" spans="1:9" ht="10.199999999999999" customHeight="1" x14ac:dyDescent="0.3">
      <c r="A199" s="32" t="str">
        <f>HYPERLINK("http://avail.sbinursery.com/LiveInventoryDetail.aspx?CustomerID=954&amp;intItemKey=654&amp;ProductID=STEPSEUNO10&amp;wWidth=700&amp;wHeight=510&amp;intHort=0&amp;imgProID=0&amp;strUserType=Live","Stewartia pseudocamellia")</f>
        <v>Stewartia pseudocamellia</v>
      </c>
      <c r="B199" s="32" t="s">
        <v>33</v>
      </c>
      <c r="C199" s="32"/>
      <c r="D199" s="33">
        <v>115</v>
      </c>
      <c r="E199" s="34"/>
      <c r="F199" s="35">
        <v>21</v>
      </c>
      <c r="G199" s="32">
        <v>0</v>
      </c>
      <c r="H199" s="37">
        <v>0</v>
      </c>
      <c r="I199" s="38">
        <f t="shared" si="4"/>
        <v>0</v>
      </c>
    </row>
    <row r="200" spans="1:9" ht="10.199999999999999" customHeight="1" x14ac:dyDescent="0.3">
      <c r="A200" s="32" t="str">
        <f>HYPERLINK("http://avail.sbinursery.com/LiveInventoryDetail.aspx?CustomerID=954&amp;intItemKey=658&amp;ProductID=SYRMPALNO07K&amp;wWidth=700&amp;wHeight=510&amp;intHort=0&amp;imgProID=SYRMPALNO07K&amp;strUserType=Live","Syringa meyeri 'Palibin' TG")</f>
        <v>Syringa meyeri 'Palibin' TG</v>
      </c>
      <c r="B200" s="32" t="s">
        <v>40</v>
      </c>
      <c r="C200" s="32"/>
      <c r="D200" s="33">
        <v>135</v>
      </c>
      <c r="E200" s="34"/>
      <c r="F200" s="35">
        <v>20</v>
      </c>
      <c r="G200" s="32">
        <v>0</v>
      </c>
      <c r="H200" s="37">
        <v>0</v>
      </c>
      <c r="I200" s="38">
        <f t="shared" si="4"/>
        <v>0</v>
      </c>
    </row>
    <row r="201" spans="1:9" ht="10.199999999999999" customHeight="1" x14ac:dyDescent="0.3">
      <c r="A201" s="32" t="str">
        <f>HYPERLINK("http://avail.sbinursery.com/LiveInventoryDetail.aspx?CustomerID=954&amp;intItemKey=865&amp;ProductID=TAXOSHBNO10&amp;wWidth=700&amp;wHeight=510&amp;intHort=0&amp;imgProID=0&amp;strUserType=Live","Taxodium distichum 'Michelson' Shawnee Brave®")</f>
        <v>Taxodium distichum 'Michelson' Shawnee Brave®</v>
      </c>
      <c r="B201" s="32" t="s">
        <v>33</v>
      </c>
      <c r="C201" s="32"/>
      <c r="D201" s="33">
        <v>118</v>
      </c>
      <c r="E201" s="34"/>
      <c r="F201" s="35">
        <v>26</v>
      </c>
      <c r="G201" s="32">
        <v>0</v>
      </c>
      <c r="H201" s="37">
        <v>0</v>
      </c>
      <c r="I201" s="38">
        <f t="shared" si="4"/>
        <v>0</v>
      </c>
    </row>
    <row r="202" spans="1:9" ht="18" x14ac:dyDescent="0.3">
      <c r="A202" s="26" t="s">
        <v>41</v>
      </c>
      <c r="B202" s="27"/>
      <c r="C202" s="28"/>
      <c r="D202" s="29"/>
      <c r="E202" s="28"/>
      <c r="F202" s="30"/>
      <c r="G202" s="30"/>
      <c r="H202" s="31"/>
    </row>
    <row r="203" spans="1:9" ht="10.199999999999999" customHeight="1" x14ac:dyDescent="0.3">
      <c r="A203" s="32" t="str">
        <f>HYPERLINK("http://avail.sbinursery.com/LiveInventoryDetail.aspx?CustomerID=954&amp;intItemKey=954&amp;ProductID=MALDRDE17BB&amp;wWidth=700&amp;wHeight=510&amp;intHort=0&amp;imgProID=MALDRDE17BB&amp;strUserType=Live","Malus domestica 'Red Delicious'")</f>
        <v>Malus domestica 'Red Delicious'</v>
      </c>
      <c r="B203" s="32" t="s">
        <v>42</v>
      </c>
      <c r="C203" s="32"/>
      <c r="D203" s="33">
        <v>169</v>
      </c>
      <c r="E203" s="34"/>
      <c r="F203" s="35">
        <v>1</v>
      </c>
      <c r="G203" s="32">
        <v>0</v>
      </c>
      <c r="H203" s="37">
        <v>0</v>
      </c>
      <c r="I203" s="38">
        <f t="shared" ref="I203:I210" si="5">PRODUCT(D203,H203)</f>
        <v>0</v>
      </c>
    </row>
    <row r="204" spans="1:9" ht="10.199999999999999" customHeight="1" x14ac:dyDescent="0.3">
      <c r="A204" s="32" t="str">
        <f>HYPERLINK("http://avail.sbinursery.com/LiveInventoryDetail.aspx?CustomerID=954&amp;intItemKey=954&amp;ProductID=MALDRDE20BB&amp;wWidth=700&amp;wHeight=510&amp;intHort=0&amp;imgProID=MALDRDE20BB&amp;strUserType=Live","Malus domestica 'Red Delicious'")</f>
        <v>Malus domestica 'Red Delicious'</v>
      </c>
      <c r="B204" s="32" t="s">
        <v>43</v>
      </c>
      <c r="C204" s="32"/>
      <c r="D204" s="33">
        <v>187</v>
      </c>
      <c r="E204" s="34"/>
      <c r="F204" s="35">
        <v>4</v>
      </c>
      <c r="G204" s="32">
        <v>0</v>
      </c>
      <c r="H204" s="37">
        <v>0</v>
      </c>
      <c r="I204" s="38">
        <f t="shared" si="5"/>
        <v>0</v>
      </c>
    </row>
    <row r="205" spans="1:9" ht="10.199999999999999" customHeight="1" x14ac:dyDescent="0.3">
      <c r="A205" s="32" t="str">
        <f>HYPERLINK("http://avail.sbinursery.com/LiveInventoryDetail.aspx?CustomerID=954&amp;intItemKey=954&amp;ProductID=MALDRDE25BB&amp;wWidth=700&amp;wHeight=510&amp;intHort=0&amp;imgProID=0&amp;strUserType=Live","Malus domestica 'Red Delicious'")</f>
        <v>Malus domestica 'Red Delicious'</v>
      </c>
      <c r="B205" s="32" t="s">
        <v>44</v>
      </c>
      <c r="C205" s="32"/>
      <c r="D205" s="33">
        <v>244</v>
      </c>
      <c r="E205" s="34"/>
      <c r="F205" s="35">
        <v>2</v>
      </c>
      <c r="G205" s="32">
        <v>0</v>
      </c>
      <c r="H205" s="37">
        <v>0</v>
      </c>
      <c r="I205" s="38">
        <f t="shared" si="5"/>
        <v>0</v>
      </c>
    </row>
    <row r="206" spans="1:9" ht="10.199999999999999" customHeight="1" x14ac:dyDescent="0.3">
      <c r="A206" s="32" t="str">
        <f>HYPERLINK("http://avail.sbinursery.com/LiveInventoryDetail.aspx?CustomerID=954&amp;intItemKey=955&amp;ProductID=MALPYDE17BB&amp;wWidth=700&amp;wHeight=510&amp;intHort=0&amp;imgProID=MALPYDE17BB&amp;strUserType=Live","Malus pumila 'Yellow Delicious'")</f>
        <v>Malus pumila 'Yellow Delicious'</v>
      </c>
      <c r="B206" s="32" t="s">
        <v>42</v>
      </c>
      <c r="C206" s="32"/>
      <c r="D206" s="33">
        <v>169</v>
      </c>
      <c r="E206" s="34"/>
      <c r="F206" s="35">
        <v>1</v>
      </c>
      <c r="G206" s="32">
        <v>0</v>
      </c>
      <c r="H206" s="37">
        <v>0</v>
      </c>
      <c r="I206" s="38">
        <f t="shared" si="5"/>
        <v>0</v>
      </c>
    </row>
    <row r="207" spans="1:9" ht="10.199999999999999" customHeight="1" x14ac:dyDescent="0.3">
      <c r="A207" s="32" t="str">
        <f>HYPERLINK("http://avail.sbinursery.com/LiveInventoryDetail.aspx?CustomerID=954&amp;intItemKey=955&amp;ProductID=MALPYDE20BB&amp;wWidth=700&amp;wHeight=510&amp;intHort=0&amp;imgProID=MALPYDE20BB&amp;strUserType=Live","Malus pumila 'Yellow Delicious'")</f>
        <v>Malus pumila 'Yellow Delicious'</v>
      </c>
      <c r="B207" s="32" t="s">
        <v>43</v>
      </c>
      <c r="C207" s="32"/>
      <c r="D207" s="33">
        <v>187</v>
      </c>
      <c r="E207" s="34"/>
      <c r="F207" s="35">
        <v>10</v>
      </c>
      <c r="G207" s="32">
        <v>0</v>
      </c>
      <c r="H207" s="37">
        <v>0</v>
      </c>
      <c r="I207" s="38">
        <f t="shared" si="5"/>
        <v>0</v>
      </c>
    </row>
    <row r="208" spans="1:9" ht="10.199999999999999" customHeight="1" x14ac:dyDescent="0.3">
      <c r="A208" s="32" t="str">
        <f>HYPERLINK("http://avail.sbinursery.com/LiveInventoryDetail.aspx?CustomerID=954&amp;intItemKey=955&amp;ProductID=MALPYDE25BB&amp;wWidth=700&amp;wHeight=510&amp;intHort=0&amp;imgProID=0&amp;strUserType=Live","Malus pumila 'Yellow Delicious'")</f>
        <v>Malus pumila 'Yellow Delicious'</v>
      </c>
      <c r="B208" s="32" t="s">
        <v>44</v>
      </c>
      <c r="C208" s="32"/>
      <c r="D208" s="33">
        <v>244</v>
      </c>
      <c r="E208" s="34"/>
      <c r="F208" s="35">
        <v>2</v>
      </c>
      <c r="G208" s="32">
        <v>0</v>
      </c>
      <c r="H208" s="37">
        <v>0</v>
      </c>
      <c r="I208" s="38">
        <f t="shared" si="5"/>
        <v>0</v>
      </c>
    </row>
    <row r="209" spans="1:9" ht="10.199999999999999" customHeight="1" x14ac:dyDescent="0.3">
      <c r="A209" s="32" t="str">
        <f>HYPERLINK("http://avail.sbinursery.com/LiveInventoryDetail.aspx?CustomerID=954&amp;intItemKey=1725&amp;ProductID=PRUPBONNO05&amp;wWidth=700&amp;wHeight=510&amp;intHort=0&amp;imgProID=0&amp;strUserType=Live","Prunus persica 'Bonfire'")</f>
        <v>Prunus persica 'Bonfire'</v>
      </c>
      <c r="B209" s="32" t="s">
        <v>24</v>
      </c>
      <c r="C209" s="32"/>
      <c r="D209" s="33">
        <v>78</v>
      </c>
      <c r="E209" s="34"/>
      <c r="F209" s="35">
        <v>17</v>
      </c>
      <c r="G209" s="32">
        <v>0</v>
      </c>
      <c r="H209" s="37">
        <v>0</v>
      </c>
      <c r="I209" s="38">
        <f t="shared" si="5"/>
        <v>0</v>
      </c>
    </row>
    <row r="210" spans="1:9" ht="10.199999999999999" customHeight="1" x14ac:dyDescent="0.3">
      <c r="A210" s="32" t="str">
        <f>HYPERLINK("http://avail.sbinursery.com/LiveInventoryDetail.aspx?CustomerID=954&amp;intItemKey=2030&amp;ProductID=PRUPBOZNO05&amp;wWidth=700&amp;wHeight=510&amp;intHort=0&amp;imgProID=0&amp;strUserType=Live","Prunus persica 'Bonanza'")</f>
        <v>Prunus persica 'Bonanza'</v>
      </c>
      <c r="B210" s="32" t="s">
        <v>24</v>
      </c>
      <c r="C210" s="32"/>
      <c r="D210" s="33">
        <v>78</v>
      </c>
      <c r="E210" s="34"/>
      <c r="F210" s="35">
        <v>13</v>
      </c>
      <c r="G210" s="32">
        <v>0</v>
      </c>
      <c r="H210" s="37">
        <v>0</v>
      </c>
      <c r="I210" s="38">
        <f t="shared" si="5"/>
        <v>0</v>
      </c>
    </row>
    <row r="211" spans="1:9" ht="18" x14ac:dyDescent="0.3">
      <c r="A211" s="26" t="s">
        <v>45</v>
      </c>
      <c r="B211" s="27"/>
      <c r="C211" s="28"/>
      <c r="D211" s="29"/>
      <c r="E211" s="28"/>
      <c r="F211" s="30"/>
      <c r="G211" s="30"/>
      <c r="H211" s="31"/>
    </row>
    <row r="212" spans="1:9" ht="10.199999999999999" customHeight="1" x14ac:dyDescent="0.3">
      <c r="A212" s="32" t="str">
        <f>HYPERLINK("http://avail.sbinursery.com/LiveInventoryDetail.aspx?CustomerID=954&amp;intItemKey=1748&amp;ProductID=ROSDWHINO02&amp;wWidth=700&amp;wHeight=510&amp;intHort=0&amp;imgProID=ROSDWHINO02&amp;strUserType=Live","Rosa 'Meizorland' PP28054 White Drift® Rose")</f>
        <v>Rosa 'Meizorland' PP28054 White Drift® Rose</v>
      </c>
      <c r="B212" s="32" t="s">
        <v>23</v>
      </c>
      <c r="C212" s="32"/>
      <c r="D212" s="33">
        <v>24</v>
      </c>
      <c r="E212" s="34"/>
      <c r="F212" s="35">
        <v>16</v>
      </c>
      <c r="G212" s="32">
        <v>0</v>
      </c>
      <c r="H212" s="37">
        <v>0</v>
      </c>
      <c r="I212" s="38">
        <f t="shared" ref="I212:I215" si="6">PRODUCT(D212,H212)</f>
        <v>0</v>
      </c>
    </row>
    <row r="213" spans="1:9" ht="10.199999999999999" customHeight="1" x14ac:dyDescent="0.3">
      <c r="A213" s="32" t="str">
        <f>HYPERLINK("http://avail.sbinursery.com/LiveInventoryDetail.aspx?CustomerID=954&amp;intItemKey=1855&amp;ProductID=ROSKPETNO02&amp;wWidth=700&amp;wHeight=510&amp;intHort=0&amp;imgProID=ROSKPETNO02&amp;strUserType=Live","Rosa 'Meibenbino' PP30811 The Petite Knock Out® Rose")</f>
        <v>Rosa 'Meibenbino' PP30811 The Petite Knock Out® Rose</v>
      </c>
      <c r="B213" s="32" t="s">
        <v>23</v>
      </c>
      <c r="C213" s="32"/>
      <c r="D213" s="33">
        <v>24</v>
      </c>
      <c r="E213" s="34"/>
      <c r="F213" s="35">
        <v>1</v>
      </c>
      <c r="G213" s="32">
        <v>0</v>
      </c>
      <c r="H213" s="37">
        <v>0</v>
      </c>
      <c r="I213" s="38">
        <f t="shared" si="6"/>
        <v>0</v>
      </c>
    </row>
    <row r="214" spans="1:9" ht="10.199999999999999" customHeight="1" x14ac:dyDescent="0.3">
      <c r="A214" s="32" t="str">
        <f>HYPERLINK("http://avail.sbinursery.com/LiveInventoryDetail.aspx?CustomerID=954&amp;intItemKey=1855&amp;ProductID=ROSKPETNO03K&amp;wWidth=700&amp;wHeight=510&amp;intHort=0&amp;imgProID=ROSKPETNO03K&amp;strUserType=Live","Rosa 'Meibenbino' PP30811 The Petite Knock Out® Rose")</f>
        <v>Rosa 'Meibenbino' PP30811 The Petite Knock Out® Rose</v>
      </c>
      <c r="B214" s="32" t="s">
        <v>46</v>
      </c>
      <c r="C214" s="32"/>
      <c r="D214" s="33">
        <v>49</v>
      </c>
      <c r="E214" s="34"/>
      <c r="F214" s="35">
        <v>17</v>
      </c>
      <c r="G214" s="32">
        <v>0</v>
      </c>
      <c r="H214" s="37">
        <v>0</v>
      </c>
      <c r="I214" s="38">
        <f t="shared" si="6"/>
        <v>0</v>
      </c>
    </row>
    <row r="215" spans="1:9" ht="10.199999999999999" customHeight="1" x14ac:dyDescent="0.3">
      <c r="A215" s="32" t="str">
        <f>HYPERLINK("http://avail.sbinursery.com/LiveInventoryDetail.aspx?CustomerID=954&amp;intItemKey=1121&amp;ProductID=ROSSUNNNO03&amp;wWidth=700&amp;wHeight=510&amp;intHort=0&amp;imgProID=ROSSUNNNO03&amp;strUserType=Live","Rosa 'Radsunny' PP18562 Sunny Knock Out® Rose")</f>
        <v>Rosa 'Radsunny' PP18562 Sunny Knock Out® Rose</v>
      </c>
      <c r="B215" s="32" t="s">
        <v>22</v>
      </c>
      <c r="C215" s="32"/>
      <c r="D215" s="33">
        <v>26</v>
      </c>
      <c r="E215" s="34"/>
      <c r="F215" s="35">
        <v>17</v>
      </c>
      <c r="G215" s="32">
        <v>0</v>
      </c>
      <c r="H215" s="37">
        <v>0</v>
      </c>
      <c r="I215" s="38">
        <f t="shared" si="6"/>
        <v>0</v>
      </c>
    </row>
    <row r="216" spans="1:9" ht="18" x14ac:dyDescent="0.3">
      <c r="A216" s="26" t="s">
        <v>47</v>
      </c>
      <c r="B216" s="27"/>
      <c r="C216" s="28"/>
      <c r="D216" s="29"/>
      <c r="E216" s="28"/>
      <c r="F216" s="30"/>
      <c r="G216" s="30"/>
      <c r="H216" s="31"/>
    </row>
    <row r="217" spans="1:9" ht="10.199999999999999" customHeight="1" x14ac:dyDescent="0.3">
      <c r="A217" s="32" t="str">
        <f>HYPERLINK("http://avail.sbinursery.com/LiveInventoryDetail.aspx?CustomerID=954&amp;intItemKey=1695&amp;ProductID=WISMSUMNO03&amp;wWidth=700&amp;wHeight=510&amp;intHort=0&amp;imgProID=WISMSUMNO03&amp;strUserType=Live","Wisteria m. 'Betty Matthews' Summer Cascade™")</f>
        <v>Wisteria m. 'Betty Matthews' Summer Cascade™</v>
      </c>
      <c r="B217" s="32" t="s">
        <v>22</v>
      </c>
      <c r="C217" s="32"/>
      <c r="D217" s="33">
        <v>28</v>
      </c>
      <c r="E217" s="34"/>
      <c r="F217" s="35">
        <v>34</v>
      </c>
      <c r="G217" s="32">
        <v>0</v>
      </c>
      <c r="H217" s="37">
        <v>0</v>
      </c>
      <c r="I217" s="38">
        <f>PRODUCT(D217,H217)</f>
        <v>0</v>
      </c>
    </row>
    <row r="218" spans="1:9" ht="18" x14ac:dyDescent="0.3">
      <c r="A218" s="26" t="s">
        <v>48</v>
      </c>
      <c r="B218" s="27"/>
      <c r="C218" s="28"/>
      <c r="D218" s="29"/>
      <c r="E218" s="28"/>
      <c r="F218" s="30"/>
      <c r="G218" s="30"/>
      <c r="H218" s="31"/>
    </row>
    <row r="219" spans="1:9" ht="10.199999999999999" customHeight="1" x14ac:dyDescent="0.3">
      <c r="A219" s="32" t="str">
        <f>HYPERLINK("http://avail.sbinursery.com/LiveInventoryDetail.aspx?CustomerID=954&amp;intItemKey=1161&amp;ProductID=SCHSBLUNO02&amp;wWidth=700&amp;wHeight=510&amp;intHort=0&amp;imgProID=SCHSBLUNO02&amp;strUserType=Live","Schizachyrium scoparium 'The Blues'")</f>
        <v>Schizachyrium scoparium 'The Blues'</v>
      </c>
      <c r="B219" s="32" t="s">
        <v>23</v>
      </c>
      <c r="C219" s="32"/>
      <c r="D219" s="33">
        <v>14</v>
      </c>
      <c r="E219" s="34"/>
      <c r="F219" s="35">
        <v>2</v>
      </c>
      <c r="G219" s="32">
        <v>0</v>
      </c>
      <c r="H219" s="37">
        <v>0</v>
      </c>
      <c r="I219" s="38">
        <f t="shared" ref="I219:I220" si="7">PRODUCT(D219,H219)</f>
        <v>0</v>
      </c>
    </row>
    <row r="220" spans="1:9" ht="10.199999999999999" customHeight="1" x14ac:dyDescent="0.3">
      <c r="A220" s="32" t="str">
        <f>HYPERLINK("http://avail.sbinursery.com/LiveInventoryDetail.aspx?CustomerID=954&amp;intItemKey=652&amp;ProductID=SPOHETENO01&amp;wWidth=700&amp;wHeight=510&amp;intHort=0&amp;imgProID=SPOHETENO01&amp;strUserType=Live","Sporobolus heterolepsis")</f>
        <v>Sporobolus heterolepsis</v>
      </c>
      <c r="B220" s="32" t="s">
        <v>25</v>
      </c>
      <c r="C220" s="32"/>
      <c r="D220" s="33">
        <v>11.5</v>
      </c>
      <c r="E220" s="34"/>
      <c r="F220" s="35">
        <v>21</v>
      </c>
      <c r="G220" s="32">
        <v>0</v>
      </c>
      <c r="H220" s="37">
        <v>0</v>
      </c>
      <c r="I220" s="38">
        <f t="shared" si="7"/>
        <v>0</v>
      </c>
    </row>
    <row r="221" spans="1:9" ht="18" x14ac:dyDescent="0.3">
      <c r="A221" s="26" t="s">
        <v>49</v>
      </c>
      <c r="B221" s="27"/>
      <c r="C221" s="28"/>
      <c r="D221" s="29"/>
      <c r="E221" s="28"/>
      <c r="F221" s="30"/>
      <c r="G221" s="30"/>
      <c r="H221" s="31"/>
    </row>
    <row r="222" spans="1:9" ht="10.199999999999999" customHeight="1" x14ac:dyDescent="0.3">
      <c r="A222" s="32" t="str">
        <f>HYPERLINK("http://avail.sbinursery.com/LiveInventoryDetail.aspx?CustomerID=954&amp;intItemKey=1817&amp;ProductID=DENNPUNNO02&amp;wWidth=700&amp;wHeight=510&amp;intHort=0&amp;imgProID=DENNPUNNO02&amp;strUserType=Live","Dennstaedtia punctilobula")</f>
        <v>Dennstaedtia punctilobula</v>
      </c>
      <c r="B222" s="32" t="s">
        <v>23</v>
      </c>
      <c r="C222" s="32"/>
      <c r="D222" s="33">
        <v>15.5</v>
      </c>
      <c r="E222" s="34"/>
      <c r="F222" s="35">
        <v>17</v>
      </c>
      <c r="G222" s="32">
        <v>0</v>
      </c>
      <c r="H222" s="37">
        <v>0</v>
      </c>
      <c r="I222" s="38">
        <f>PRODUCT(D222,H222)</f>
        <v>0</v>
      </c>
    </row>
    <row r="223" spans="1:9" ht="18" x14ac:dyDescent="0.3">
      <c r="A223" s="26" t="s">
        <v>50</v>
      </c>
      <c r="B223" s="27"/>
      <c r="C223" s="28"/>
      <c r="D223" s="29"/>
      <c r="E223" s="28"/>
      <c r="F223" s="30"/>
      <c r="G223" s="30"/>
      <c r="H223" s="31"/>
    </row>
    <row r="224" spans="1:9" ht="10.199999999999999" customHeight="1" x14ac:dyDescent="0.3">
      <c r="A224" s="32" t="str">
        <f>HYPERLINK("http://avail.sbinursery.com/LiveInventoryDetail.aspx?CustomerID=954&amp;intItemKey=1990&amp;ProductID=ARCUMASNO01A&amp;wWidth=700&amp;wHeight=510&amp;intHort=0&amp;imgProID=ARCUMASNO01A&amp;strUserType=Live","Arctostaphylos uva-ursi 'Massachusetts'")</f>
        <v>Arctostaphylos uva-ursi 'Massachusetts'</v>
      </c>
      <c r="B224" s="32" t="s">
        <v>26</v>
      </c>
      <c r="C224" s="32"/>
      <c r="D224" s="33">
        <v>12</v>
      </c>
      <c r="E224" s="34"/>
      <c r="F224" s="35">
        <v>251</v>
      </c>
      <c r="G224" s="32">
        <v>0</v>
      </c>
      <c r="H224" s="37">
        <v>0</v>
      </c>
      <c r="I224" s="38">
        <f>PRODUCT(D224,H224)</f>
        <v>0</v>
      </c>
    </row>
    <row r="225" spans="1:9" ht="18" x14ac:dyDescent="0.3">
      <c r="A225" s="26" t="s">
        <v>51</v>
      </c>
      <c r="B225" s="27"/>
      <c r="C225" s="28"/>
      <c r="D225" s="29"/>
      <c r="E225" s="28"/>
      <c r="F225" s="30"/>
      <c r="G225" s="30"/>
      <c r="H225" s="31"/>
    </row>
    <row r="226" spans="1:9" ht="10.199999999999999" customHeight="1" x14ac:dyDescent="0.3">
      <c r="A226" s="32" t="str">
        <f>HYPERLINK("http://avail.sbinursery.com/LiveInventoryDetail.aspx?CustomerID=954&amp;intItemKey=1845&amp;ProductID=BUXGMOU18BBP&amp;wWidth=700&amp;wHeight=510&amp;intHort=0&amp;imgProID=0&amp;strUserType=Live","Buxus x 'Green Mountain' PYRAMID")</f>
        <v>Buxus x 'Green Mountain' PYRAMID</v>
      </c>
      <c r="B226" s="32" t="s">
        <v>55</v>
      </c>
      <c r="C226" s="32"/>
      <c r="D226" s="33">
        <v>52</v>
      </c>
      <c r="E226" s="34"/>
      <c r="F226" s="35">
        <v>1</v>
      </c>
      <c r="G226" s="32">
        <v>0</v>
      </c>
      <c r="H226" s="37">
        <v>0</v>
      </c>
      <c r="I226" s="38">
        <f t="shared" ref="I226:I266" si="8">PRODUCT(D226,H226)</f>
        <v>0</v>
      </c>
    </row>
    <row r="227" spans="1:9" ht="10.199999999999999" customHeight="1" x14ac:dyDescent="0.3">
      <c r="A227" s="32" t="str">
        <f>HYPERLINK("http://avail.sbinursery.com/LiveInventoryDetail.aspx?CustomerID=954&amp;intItemKey=1845&amp;ProductID=BUXGMOU21BBP&amp;wWidth=700&amp;wHeight=510&amp;intHort=0&amp;imgProID=0&amp;strUserType=Live","Buxus x 'Green Mountain' PYRAMID")</f>
        <v>Buxus x 'Green Mountain' PYRAMID</v>
      </c>
      <c r="B227" s="32" t="s">
        <v>56</v>
      </c>
      <c r="C227" s="32"/>
      <c r="D227" s="33">
        <v>59</v>
      </c>
      <c r="E227" s="34"/>
      <c r="F227" s="35">
        <v>1</v>
      </c>
      <c r="G227" s="32">
        <v>0</v>
      </c>
      <c r="H227" s="37">
        <v>0</v>
      </c>
      <c r="I227" s="38">
        <f t="shared" si="8"/>
        <v>0</v>
      </c>
    </row>
    <row r="228" spans="1:9" ht="10.199999999999999" customHeight="1" x14ac:dyDescent="0.3">
      <c r="A228" s="32" t="str">
        <f>HYPERLINK("http://avail.sbinursery.com/LiveInventoryDetail.aspx?CustomerID=954&amp;intItemKey=121&amp;ProductID=BUXGMOU24BB&amp;wWidth=700&amp;wHeight=510&amp;intHort=0&amp;imgProID=BUXGMOU24BB&amp;strUserType=Live","Buxus x 'Green Mountain'")</f>
        <v>Buxus x 'Green Mountain'</v>
      </c>
      <c r="B228" s="32" t="s">
        <v>53</v>
      </c>
      <c r="C228" s="32"/>
      <c r="D228" s="33">
        <v>51</v>
      </c>
      <c r="E228" s="34"/>
      <c r="F228" s="35">
        <v>6</v>
      </c>
      <c r="G228" s="32">
        <v>0</v>
      </c>
      <c r="H228" s="37">
        <v>0</v>
      </c>
      <c r="I228" s="38">
        <f t="shared" si="8"/>
        <v>0</v>
      </c>
    </row>
    <row r="229" spans="1:9" ht="10.199999999999999" customHeight="1" x14ac:dyDescent="0.3">
      <c r="A229" s="32" t="str">
        <f>HYPERLINK("http://avail.sbinursery.com/LiveInventoryDetail.aspx?CustomerID=954&amp;intItemKey=1845&amp;ProductID=BUXGMOU30BBP&amp;wWidth=700&amp;wHeight=510&amp;intHort=0&amp;imgProID=BUXGMOU30BBP&amp;strUserType=Live","Buxus x 'Green Mountain' PYRAMID")</f>
        <v>Buxus x 'Green Mountain' PYRAMID</v>
      </c>
      <c r="B229" s="32" t="s">
        <v>57</v>
      </c>
      <c r="C229" s="32"/>
      <c r="D229" s="33">
        <v>79</v>
      </c>
      <c r="E229" s="34"/>
      <c r="F229" s="35">
        <v>2</v>
      </c>
      <c r="G229" s="32">
        <v>0</v>
      </c>
      <c r="H229" s="37">
        <v>0</v>
      </c>
      <c r="I229" s="38">
        <f t="shared" si="8"/>
        <v>0</v>
      </c>
    </row>
    <row r="230" spans="1:9" ht="10.199999999999999" customHeight="1" x14ac:dyDescent="0.3">
      <c r="A230" s="32" t="str">
        <f>HYPERLINK("http://avail.sbinursery.com/LiveInventoryDetail.aspx?CustomerID=954&amp;intItemKey=115&amp;ProductID=BUXMBEA24BB&amp;wWidth=700&amp;wHeight=510&amp;intHort=0&amp;imgProID=BUXMBEA24BB&amp;strUserType=Live","Buxus m. k. 'Winter Beauty'")</f>
        <v>Buxus m. k. 'Winter Beauty'</v>
      </c>
      <c r="B230" s="32" t="s">
        <v>53</v>
      </c>
      <c r="C230" s="32"/>
      <c r="D230" s="33">
        <v>51</v>
      </c>
      <c r="E230" s="34"/>
      <c r="F230" s="35">
        <v>1</v>
      </c>
      <c r="G230" s="32">
        <v>0</v>
      </c>
      <c r="H230" s="37">
        <v>0</v>
      </c>
      <c r="I230" s="38">
        <f t="shared" si="8"/>
        <v>0</v>
      </c>
    </row>
    <row r="231" spans="1:9" ht="10.199999999999999" customHeight="1" x14ac:dyDescent="0.3">
      <c r="A231" s="32" t="str">
        <f>HYPERLINK("http://avail.sbinursery.com/LiveInventoryDetail.aspx?CustomerID=954&amp;intItemKey=117&amp;ProductID=BUXSVAL18BB&amp;wWidth=700&amp;wHeight=510&amp;intHort=0&amp;imgProID=BUXSVAL18BB&amp;strUserType=Live","Buxus s. 'Vardar Valley'")</f>
        <v>Buxus s. 'Vardar Valley'</v>
      </c>
      <c r="B231" s="32" t="s">
        <v>54</v>
      </c>
      <c r="C231" s="32"/>
      <c r="D231" s="33">
        <v>39</v>
      </c>
      <c r="E231" s="34"/>
      <c r="F231" s="35">
        <v>3</v>
      </c>
      <c r="G231" s="32">
        <v>0</v>
      </c>
      <c r="H231" s="37">
        <v>0</v>
      </c>
      <c r="I231" s="38">
        <f t="shared" si="8"/>
        <v>0</v>
      </c>
    </row>
    <row r="232" spans="1:9" ht="10.199999999999999" customHeight="1" x14ac:dyDescent="0.3">
      <c r="A232" s="32" t="str">
        <f>HYPERLINK("http://avail.sbinursery.com/LiveInventoryDetail.aspx?CustomerID=954&amp;intItemKey=117&amp;ProductID=BUXSVAL21BB&amp;wWidth=700&amp;wHeight=510&amp;intHort=0&amp;imgProID=BUXSVAL21BB&amp;strUserType=Live","Buxus s. 'Vardar Valley'")</f>
        <v>Buxus s. 'Vardar Valley'</v>
      </c>
      <c r="B232" s="32" t="s">
        <v>52</v>
      </c>
      <c r="C232" s="32"/>
      <c r="D232" s="33">
        <v>44.5</v>
      </c>
      <c r="E232" s="34"/>
      <c r="F232" s="35">
        <v>2</v>
      </c>
      <c r="G232" s="32">
        <v>0</v>
      </c>
      <c r="H232" s="37">
        <v>0</v>
      </c>
      <c r="I232" s="38">
        <f t="shared" si="8"/>
        <v>0</v>
      </c>
    </row>
    <row r="233" spans="1:9" ht="10.199999999999999" customHeight="1" x14ac:dyDescent="0.3">
      <c r="A233" s="32" t="str">
        <f>HYPERLINK("http://avail.sbinursery.com/LiveInventoryDetail.aspx?CustomerID=954&amp;intItemKey=122&amp;ProductID=BUXXVEL24BB&amp;wWidth=700&amp;wHeight=510&amp;intHort=0&amp;imgProID=BUXXVEL24BB&amp;strUserType=Live","Buxus x 'Green Velvet'")</f>
        <v>Buxus x 'Green Velvet'</v>
      </c>
      <c r="B233" s="32" t="s">
        <v>53</v>
      </c>
      <c r="C233" s="32"/>
      <c r="D233" s="33">
        <v>51</v>
      </c>
      <c r="E233" s="34"/>
      <c r="F233" s="35">
        <v>70</v>
      </c>
      <c r="G233" s="32">
        <v>0</v>
      </c>
      <c r="H233" s="37">
        <v>0</v>
      </c>
      <c r="I233" s="38">
        <f t="shared" si="8"/>
        <v>0</v>
      </c>
    </row>
    <row r="234" spans="1:9" ht="10.199999999999999" customHeight="1" x14ac:dyDescent="0.3">
      <c r="A234" s="32" t="str">
        <f>HYPERLINK("http://avail.sbinursery.com/LiveInventoryDetail.aspx?CustomerID=954&amp;intItemKey=122&amp;ProductID=BUXXVEL30BB&amp;wWidth=700&amp;wHeight=510&amp;intHort=0&amp;imgProID=0&amp;strUserType=Live","Buxus x 'Green Velvet'")</f>
        <v>Buxus x 'Green Velvet'</v>
      </c>
      <c r="B234" s="32" t="s">
        <v>58</v>
      </c>
      <c r="C234" s="32"/>
      <c r="D234" s="33">
        <v>63</v>
      </c>
      <c r="E234" s="34"/>
      <c r="F234" s="35">
        <v>2</v>
      </c>
      <c r="G234" s="32">
        <v>0</v>
      </c>
      <c r="H234" s="37">
        <v>0</v>
      </c>
      <c r="I234" s="38">
        <f t="shared" si="8"/>
        <v>0</v>
      </c>
    </row>
    <row r="235" spans="1:9" ht="10.199999999999999" customHeight="1" x14ac:dyDescent="0.3">
      <c r="A235" s="32" t="str">
        <f>HYPERLINK("http://avail.sbinursery.com/LiveInventoryDetail.aspx?CustomerID=954&amp;intItemKey=146&amp;ProductID=CHANPEN05BB&amp;wWidth=700&amp;wHeight=510&amp;intHort=0&amp;imgProID=CHANPEN05BB&amp;strUserType=Live","Chamaecyparis nootkatensis 'Pendula'")</f>
        <v>Chamaecyparis nootkatensis 'Pendula'</v>
      </c>
      <c r="B235" s="32" t="s">
        <v>60</v>
      </c>
      <c r="C235" s="32"/>
      <c r="D235" s="33">
        <v>135</v>
      </c>
      <c r="E235" s="34"/>
      <c r="F235" s="35">
        <v>1</v>
      </c>
      <c r="G235" s="32">
        <v>0</v>
      </c>
      <c r="H235" s="37">
        <v>0</v>
      </c>
      <c r="I235" s="38">
        <f t="shared" si="8"/>
        <v>0</v>
      </c>
    </row>
    <row r="236" spans="1:9" ht="10.199999999999999" customHeight="1" x14ac:dyDescent="0.3">
      <c r="A236" s="32" t="str">
        <f>HYPERLINK("http://avail.sbinursery.com/LiveInventoryDetail.aspx?CustomerID=954&amp;intItemKey=230&amp;ProductID=EUOACOM18BB&amp;wWidth=700&amp;wHeight=510&amp;intHort=0&amp;imgProID=EUOACOM18BB&amp;strUserType=Live","Euonymus alatas 'Compactus'")</f>
        <v>Euonymus alatas 'Compactus'</v>
      </c>
      <c r="B236" s="32" t="s">
        <v>54</v>
      </c>
      <c r="C236" s="32"/>
      <c r="D236" s="33">
        <v>26</v>
      </c>
      <c r="E236" s="34"/>
      <c r="F236" s="35">
        <v>1</v>
      </c>
      <c r="G236" s="32">
        <v>0</v>
      </c>
      <c r="H236" s="37">
        <v>0</v>
      </c>
      <c r="I236" s="38">
        <f t="shared" si="8"/>
        <v>0</v>
      </c>
    </row>
    <row r="237" spans="1:9" ht="10.199999999999999" customHeight="1" x14ac:dyDescent="0.3">
      <c r="A237" s="32" t="str">
        <f>HYPERLINK("http://avail.sbinursery.com/LiveInventoryDetail.aspx?CustomerID=954&amp;intItemKey=230&amp;ProductID=EUOACOM24BB&amp;wWidth=700&amp;wHeight=510&amp;intHort=0&amp;imgProID=EUOACOM24BB&amp;strUserType=Live","Euonymus alatas 'Compactus'")</f>
        <v>Euonymus alatas 'Compactus'</v>
      </c>
      <c r="B237" s="32" t="s">
        <v>53</v>
      </c>
      <c r="C237" s="32"/>
      <c r="D237" s="33">
        <v>33.5</v>
      </c>
      <c r="E237" s="34"/>
      <c r="F237" s="35">
        <v>1</v>
      </c>
      <c r="G237" s="32">
        <v>0</v>
      </c>
      <c r="H237" s="37">
        <v>0</v>
      </c>
      <c r="I237" s="38">
        <f t="shared" si="8"/>
        <v>0</v>
      </c>
    </row>
    <row r="238" spans="1:9" ht="10.199999999999999" customHeight="1" x14ac:dyDescent="0.3">
      <c r="A238" s="32" t="str">
        <f>HYPERLINK("http://avail.sbinursery.com/LiveInventoryDetail.aspx?CustomerID=954&amp;intItemKey=254&amp;ProductID=FORXGOL05BB&amp;wWidth=700&amp;wHeight=510&amp;intHort=0&amp;imgProID=FORXGOL05BB&amp;strUserType=Live","Forsythia x 'Lynwood'")</f>
        <v>Forsythia x 'Lynwood'</v>
      </c>
      <c r="B238" s="32" t="s">
        <v>60</v>
      </c>
      <c r="C238" s="32"/>
      <c r="D238" s="33">
        <v>55</v>
      </c>
      <c r="E238" s="34"/>
      <c r="F238" s="35">
        <v>14</v>
      </c>
      <c r="G238" s="32">
        <v>0</v>
      </c>
      <c r="H238" s="37">
        <v>0</v>
      </c>
      <c r="I238" s="38">
        <f t="shared" si="8"/>
        <v>0</v>
      </c>
    </row>
    <row r="239" spans="1:9" ht="10.199999999999999" customHeight="1" x14ac:dyDescent="0.3">
      <c r="A239" s="32" t="str">
        <f>HYPERLINK("http://avail.sbinursery.com/LiveInventoryDetail.aspx?CustomerID=954&amp;intItemKey=254&amp;ProductID=FORXGOL36BB&amp;wWidth=700&amp;wHeight=510&amp;intHort=0&amp;imgProID=FORXGOL36BB&amp;strUserType=Live","Forsythia x 'Lynwood'")</f>
        <v>Forsythia x 'Lynwood'</v>
      </c>
      <c r="B239" s="32" t="s">
        <v>63</v>
      </c>
      <c r="C239" s="32"/>
      <c r="D239" s="33">
        <v>31</v>
      </c>
      <c r="E239" s="34"/>
      <c r="F239" s="35">
        <v>10</v>
      </c>
      <c r="G239" s="32">
        <v>0</v>
      </c>
      <c r="H239" s="37">
        <v>0</v>
      </c>
      <c r="I239" s="38">
        <f t="shared" si="8"/>
        <v>0</v>
      </c>
    </row>
    <row r="240" spans="1:9" ht="10.199999999999999" customHeight="1" x14ac:dyDescent="0.3">
      <c r="A240" s="32" t="str">
        <f>HYPERLINK("http://avail.sbinursery.com/LiveInventoryDetail.aspx?CustomerID=954&amp;intItemKey=254&amp;ProductID=FORXGOL48BB&amp;wWidth=700&amp;wHeight=510&amp;intHort=0&amp;imgProID=FORXGOL48BB&amp;strUserType=Live","Forsythia x 'Lynwood'")</f>
        <v>Forsythia x 'Lynwood'</v>
      </c>
      <c r="B240" s="32" t="s">
        <v>64</v>
      </c>
      <c r="C240" s="32"/>
      <c r="D240" s="33">
        <v>48</v>
      </c>
      <c r="E240" s="34"/>
      <c r="F240" s="35">
        <v>33</v>
      </c>
      <c r="G240" s="32">
        <v>0</v>
      </c>
      <c r="H240" s="37">
        <v>0</v>
      </c>
      <c r="I240" s="38">
        <f t="shared" si="8"/>
        <v>0</v>
      </c>
    </row>
    <row r="241" spans="1:9" ht="10.199999999999999" customHeight="1" x14ac:dyDescent="0.3">
      <c r="A241" s="32" t="str">
        <f>HYPERLINK("http://avail.sbinursery.com/LiveInventoryDetail.aspx?CustomerID=954&amp;intItemKey=1912&amp;ProductID=HAMVGOL05BB&amp;wWidth=700&amp;wHeight=510&amp;intHort=0&amp;imgProID=0&amp;strUserType=Live","Hamamelis vernalis 'Goleczam' Golden Eclipse™")</f>
        <v>Hamamelis vernalis 'Goleczam' Golden Eclipse™</v>
      </c>
      <c r="B241" s="32" t="s">
        <v>60</v>
      </c>
      <c r="C241" s="32"/>
      <c r="D241" s="33">
        <v>113.5</v>
      </c>
      <c r="E241" s="34"/>
      <c r="F241" s="35">
        <v>8</v>
      </c>
      <c r="G241" s="32">
        <v>0</v>
      </c>
      <c r="H241" s="37">
        <v>0</v>
      </c>
      <c r="I241" s="38">
        <f t="shared" si="8"/>
        <v>0</v>
      </c>
    </row>
    <row r="242" spans="1:9" ht="10.199999999999999" customHeight="1" x14ac:dyDescent="0.3">
      <c r="A242" s="32" t="str">
        <f>HYPERLINK("http://avail.sbinursery.com/LiveInventoryDetail.aspx?CustomerID=954&amp;intItemKey=1912&amp;ProductID=HAMVGOL48BB&amp;wWidth=700&amp;wHeight=510&amp;intHort=0&amp;imgProID=0&amp;strUserType=Live","Hamamelis vernalis 'Goleczam' Golden Eclipse™")</f>
        <v>Hamamelis vernalis 'Goleczam' Golden Eclipse™</v>
      </c>
      <c r="B242" s="32" t="s">
        <v>64</v>
      </c>
      <c r="C242" s="32"/>
      <c r="D242" s="33">
        <v>91</v>
      </c>
      <c r="E242" s="34"/>
      <c r="F242" s="35">
        <v>11</v>
      </c>
      <c r="G242" s="32">
        <v>0</v>
      </c>
      <c r="H242" s="37">
        <v>0</v>
      </c>
      <c r="I242" s="38">
        <f t="shared" si="8"/>
        <v>0</v>
      </c>
    </row>
    <row r="243" spans="1:9" ht="10.199999999999999" customHeight="1" x14ac:dyDescent="0.3">
      <c r="A243" s="32" t="str">
        <f>HYPERLINK("http://avail.sbinursery.com/LiveInventoryDetail.aspx?CustomerID=954&amp;intItemKey=1588&amp;ProductID=JUNCBLU05BB&amp;wWidth=700&amp;wHeight=510&amp;intHort=0&amp;imgProID=JUNCBLU05BB&amp;strUserType=Live","Juniperus chinensis 'Blue Point'")</f>
        <v>Juniperus chinensis 'Blue Point'</v>
      </c>
      <c r="B243" s="32" t="s">
        <v>60</v>
      </c>
      <c r="C243" s="32"/>
      <c r="D243" s="33">
        <v>91</v>
      </c>
      <c r="E243" s="34"/>
      <c r="F243" s="35">
        <v>22</v>
      </c>
      <c r="G243" s="32">
        <v>0</v>
      </c>
      <c r="H243" s="37">
        <v>0</v>
      </c>
      <c r="I243" s="38">
        <f t="shared" si="8"/>
        <v>0</v>
      </c>
    </row>
    <row r="244" spans="1:9" ht="10.199999999999999" customHeight="1" x14ac:dyDescent="0.3">
      <c r="A244" s="32" t="str">
        <f>HYPERLINK("http://avail.sbinursery.com/LiveInventoryDetail.aspx?CustomerID=954&amp;intItemKey=1588&amp;ProductID=JUNCBLU07BB&amp;wWidth=700&amp;wHeight=510&amp;intHort=0&amp;imgProID=JUNCBLU07BB&amp;strUserType=Live","Juniperus chinensis 'Blue Point'")</f>
        <v>Juniperus chinensis 'Blue Point'</v>
      </c>
      <c r="B244" s="32" t="s">
        <v>65</v>
      </c>
      <c r="C244" s="32"/>
      <c r="D244" s="33">
        <v>128</v>
      </c>
      <c r="E244" s="34"/>
      <c r="F244" s="35">
        <v>1</v>
      </c>
      <c r="G244" s="32">
        <v>0</v>
      </c>
      <c r="H244" s="37">
        <v>0</v>
      </c>
      <c r="I244" s="38">
        <f t="shared" si="8"/>
        <v>0</v>
      </c>
    </row>
    <row r="245" spans="1:9" ht="10.199999999999999" customHeight="1" x14ac:dyDescent="0.3">
      <c r="A245" s="32" t="str">
        <f>HYPERLINK("http://avail.sbinursery.com/LiveInventoryDetail.aspx?CustomerID=954&amp;intItemKey=937&amp;ProductID=JUNCFAI05BB&amp;wWidth=700&amp;wHeight=510&amp;intHort=0&amp;imgProID=0&amp;strUserType=Live","Juniperus chinensis 'Fairview'")</f>
        <v>Juniperus chinensis 'Fairview'</v>
      </c>
      <c r="B245" s="32" t="s">
        <v>60</v>
      </c>
      <c r="C245" s="32"/>
      <c r="D245" s="33">
        <v>91</v>
      </c>
      <c r="E245" s="34"/>
      <c r="F245" s="35">
        <v>94</v>
      </c>
      <c r="G245" s="32">
        <v>0</v>
      </c>
      <c r="H245" s="37">
        <v>0</v>
      </c>
      <c r="I245" s="38">
        <f t="shared" si="8"/>
        <v>0</v>
      </c>
    </row>
    <row r="246" spans="1:9" ht="10.199999999999999" customHeight="1" x14ac:dyDescent="0.3">
      <c r="A246" s="32" t="str">
        <f>HYPERLINK("http://avail.sbinursery.com/LiveInventoryDetail.aspx?CustomerID=954&amp;intItemKey=1589&amp;ProductID=JUNCMOU05BB&amp;wWidth=700&amp;wHeight=510&amp;intHort=0&amp;imgProID=JUNCMOU05BB&amp;strUserType=Live","Juniperus chinensis 'Mountbatten'")</f>
        <v>Juniperus chinensis 'Mountbatten'</v>
      </c>
      <c r="B246" s="32" t="s">
        <v>60</v>
      </c>
      <c r="C246" s="32"/>
      <c r="D246" s="33">
        <v>91</v>
      </c>
      <c r="E246" s="34"/>
      <c r="F246" s="35">
        <v>424</v>
      </c>
      <c r="G246" s="32">
        <v>0</v>
      </c>
      <c r="H246" s="37">
        <v>0</v>
      </c>
      <c r="I246" s="38">
        <f t="shared" si="8"/>
        <v>0</v>
      </c>
    </row>
    <row r="247" spans="1:9" ht="10.199999999999999" customHeight="1" x14ac:dyDescent="0.3">
      <c r="A247" s="32" t="str">
        <f>HYPERLINK("http://avail.sbinursery.com/LiveInventoryDetail.aspx?CustomerID=954&amp;intItemKey=1589&amp;ProductID=JUNCMOU07BB&amp;wWidth=700&amp;wHeight=510&amp;intHort=0&amp;imgProID=0&amp;strUserType=Live","Juniperus chinensis 'Mountbatten'")</f>
        <v>Juniperus chinensis 'Mountbatten'</v>
      </c>
      <c r="B247" s="32" t="s">
        <v>65</v>
      </c>
      <c r="C247" s="32"/>
      <c r="D247" s="33">
        <v>128</v>
      </c>
      <c r="E247" s="34"/>
      <c r="F247" s="35">
        <v>1</v>
      </c>
      <c r="G247" s="32">
        <v>0</v>
      </c>
      <c r="H247" s="37">
        <v>0</v>
      </c>
      <c r="I247" s="38">
        <f t="shared" si="8"/>
        <v>0</v>
      </c>
    </row>
    <row r="248" spans="1:9" ht="10.199999999999999" customHeight="1" x14ac:dyDescent="0.3">
      <c r="A248" s="32" t="str">
        <f>HYPERLINK("http://avail.sbinursery.com/LiveInventoryDetail.aspx?CustomerID=954&amp;intItemKey=387&amp;ProductID=JUNCSEA21BB&amp;wWidth=700&amp;wHeight=510&amp;intHort=0&amp;imgProID=0&amp;strUserType=Live","Juniperus chinensis 'Sea Green'")</f>
        <v>Juniperus chinensis 'Sea Green'</v>
      </c>
      <c r="B248" s="32" t="s">
        <v>52</v>
      </c>
      <c r="C248" s="32"/>
      <c r="D248" s="33">
        <v>32</v>
      </c>
      <c r="E248" s="34"/>
      <c r="F248" s="35">
        <v>95</v>
      </c>
      <c r="G248" s="32">
        <v>0</v>
      </c>
      <c r="H248" s="37">
        <v>0</v>
      </c>
      <c r="I248" s="38">
        <f t="shared" si="8"/>
        <v>0</v>
      </c>
    </row>
    <row r="249" spans="1:9" ht="10.199999999999999" customHeight="1" x14ac:dyDescent="0.3">
      <c r="A249" s="32" t="str">
        <f>HYPERLINK("http://avail.sbinursery.com/LiveInventoryDetail.aspx?CustomerID=954&amp;intItemKey=387&amp;ProductID=JUNCSEA24BB&amp;wWidth=700&amp;wHeight=510&amp;intHort=0&amp;imgProID=JUNCSEA24BB&amp;strUserType=Live","Juniperus chinensis 'Sea Green'")</f>
        <v>Juniperus chinensis 'Sea Green'</v>
      </c>
      <c r="B249" s="32" t="s">
        <v>53</v>
      </c>
      <c r="C249" s="32"/>
      <c r="D249" s="33">
        <v>38</v>
      </c>
      <c r="E249" s="34"/>
      <c r="F249" s="35">
        <v>88</v>
      </c>
      <c r="G249" s="32">
        <v>0</v>
      </c>
      <c r="H249" s="37">
        <v>0</v>
      </c>
      <c r="I249" s="38">
        <f t="shared" si="8"/>
        <v>0</v>
      </c>
    </row>
    <row r="250" spans="1:9" ht="10.199999999999999" customHeight="1" x14ac:dyDescent="0.3">
      <c r="A250" s="32" t="str">
        <f>HYPERLINK("http://avail.sbinursery.com/LiveInventoryDetail.aspx?CustomerID=954&amp;intItemKey=387&amp;ProductID=JUNCSEA30BB&amp;wWidth=700&amp;wHeight=510&amp;intHort=0&amp;imgProID=JUNCSEA30BB&amp;strUserType=Live","Juniperus chinensis 'Sea Green'")</f>
        <v>Juniperus chinensis 'Sea Green'</v>
      </c>
      <c r="B250" s="32" t="s">
        <v>58</v>
      </c>
      <c r="C250" s="32"/>
      <c r="D250" s="33">
        <v>47</v>
      </c>
      <c r="E250" s="34"/>
      <c r="F250" s="35">
        <v>5</v>
      </c>
      <c r="G250" s="32">
        <v>0</v>
      </c>
      <c r="H250" s="37">
        <v>0</v>
      </c>
      <c r="I250" s="38">
        <f t="shared" si="8"/>
        <v>0</v>
      </c>
    </row>
    <row r="251" spans="1:9" ht="10.199999999999999" customHeight="1" x14ac:dyDescent="0.3">
      <c r="A251" s="32" t="str">
        <f>HYPERLINK("http://avail.sbinursery.com/LiveInventoryDetail.aspx?CustomerID=954&amp;intItemKey=387&amp;ProductID=JUNCSEA36BB&amp;wWidth=700&amp;wHeight=510&amp;intHort=0&amp;imgProID=JUNCSEA36BB&amp;strUserType=Live","Juniperus chinensis 'Sea Green'")</f>
        <v>Juniperus chinensis 'Sea Green'</v>
      </c>
      <c r="B251" s="32" t="s">
        <v>63</v>
      </c>
      <c r="C251" s="32"/>
      <c r="D251" s="33">
        <v>54</v>
      </c>
      <c r="E251" s="34"/>
      <c r="F251" s="35">
        <v>3</v>
      </c>
      <c r="G251" s="32">
        <v>0</v>
      </c>
      <c r="H251" s="37">
        <v>0</v>
      </c>
      <c r="I251" s="38">
        <f t="shared" si="8"/>
        <v>0</v>
      </c>
    </row>
    <row r="252" spans="1:9" ht="10.199999999999999" customHeight="1" x14ac:dyDescent="0.3">
      <c r="A252" s="32" t="str">
        <f>HYPERLINK("http://avail.sbinursery.com/LiveInventoryDetail.aspx?CustomerID=954&amp;intItemKey=936&amp;ProductID=JUNCSPA05BB&amp;wWidth=700&amp;wHeight=510&amp;intHort=0&amp;imgProID=JUNCSPA05BB&amp;strUserType=Live","Juniperus chinensis 'Spartan'")</f>
        <v>Juniperus chinensis 'Spartan'</v>
      </c>
      <c r="B252" s="32" t="s">
        <v>60</v>
      </c>
      <c r="C252" s="32"/>
      <c r="D252" s="33">
        <v>91</v>
      </c>
      <c r="E252" s="34"/>
      <c r="F252" s="35">
        <v>205</v>
      </c>
      <c r="G252" s="32">
        <v>0</v>
      </c>
      <c r="H252" s="37">
        <v>0</v>
      </c>
      <c r="I252" s="38">
        <f t="shared" si="8"/>
        <v>0</v>
      </c>
    </row>
    <row r="253" spans="1:9" ht="10.199999999999999" customHeight="1" x14ac:dyDescent="0.3">
      <c r="A253" s="32" t="str">
        <f>HYPERLINK("http://avail.sbinursery.com/LiveInventoryDetail.aspx?CustomerID=954&amp;intItemKey=398&amp;ProductID=JUNSBAR04BB&amp;wWidth=700&amp;wHeight=510&amp;intHort=0&amp;imgProID=0&amp;strUserType=Live","Juniperus scopulorum 'Blue Arrow'")</f>
        <v>Juniperus scopulorum 'Blue Arrow'</v>
      </c>
      <c r="B253" s="32" t="s">
        <v>64</v>
      </c>
      <c r="C253" s="32"/>
      <c r="D253" s="33">
        <v>77</v>
      </c>
      <c r="E253" s="34"/>
      <c r="F253" s="35">
        <v>1</v>
      </c>
      <c r="G253" s="32">
        <v>0</v>
      </c>
      <c r="H253" s="37">
        <v>0</v>
      </c>
      <c r="I253" s="38">
        <f t="shared" si="8"/>
        <v>0</v>
      </c>
    </row>
    <row r="254" spans="1:9" ht="10.199999999999999" customHeight="1" x14ac:dyDescent="0.3">
      <c r="A254" s="32" t="str">
        <f>HYPERLINK("http://avail.sbinursery.com/LiveInventoryDetail.aspx?CustomerID=954&amp;intItemKey=398&amp;ProductID=JUNSBAR05BB&amp;wWidth=700&amp;wHeight=510&amp;intHort=0&amp;imgProID=JUNSBAR05BB&amp;strUserType=Live","Juniperus scopulorum 'Blue Arrow'")</f>
        <v>Juniperus scopulorum 'Blue Arrow'</v>
      </c>
      <c r="B254" s="32" t="s">
        <v>60</v>
      </c>
      <c r="C254" s="32"/>
      <c r="D254" s="33">
        <v>91</v>
      </c>
      <c r="E254" s="34"/>
      <c r="F254" s="35">
        <v>72</v>
      </c>
      <c r="G254" s="32">
        <v>0</v>
      </c>
      <c r="H254" s="37">
        <v>0</v>
      </c>
      <c r="I254" s="38">
        <f t="shared" si="8"/>
        <v>0</v>
      </c>
    </row>
    <row r="255" spans="1:9" ht="10.199999999999999" customHeight="1" x14ac:dyDescent="0.3">
      <c r="A255" s="32" t="str">
        <f>HYPERLINK("http://avail.sbinursery.com/LiveInventoryDetail.aspx?CustomerID=954&amp;intItemKey=403&amp;ProductID=JUNVSKY05BB&amp;wWidth=700&amp;wHeight=510&amp;intHort=0&amp;imgProID=JUNVSKY05BB&amp;strUserType=Live","Juniperus scopulorum 'Skyrocket")</f>
        <v>Juniperus scopulorum 'Skyrocket</v>
      </c>
      <c r="B255" s="32" t="s">
        <v>60</v>
      </c>
      <c r="C255" s="32"/>
      <c r="D255" s="33">
        <v>91</v>
      </c>
      <c r="E255" s="34"/>
      <c r="F255" s="35">
        <v>165</v>
      </c>
      <c r="G255" s="32">
        <v>0</v>
      </c>
      <c r="H255" s="37">
        <v>0</v>
      </c>
      <c r="I255" s="38">
        <f t="shared" si="8"/>
        <v>0</v>
      </c>
    </row>
    <row r="256" spans="1:9" ht="10.199999999999999" customHeight="1" x14ac:dyDescent="0.3">
      <c r="A256" s="32" t="str">
        <f>HYPERLINK("http://avail.sbinursery.com/LiveInventoryDetail.aspx?CustomerID=954&amp;intItemKey=1882&amp;ProductID=JUNVTAY05BB&amp;wWidth=700&amp;wHeight=510&amp;intHort=0&amp;imgProID=0&amp;strUserType=Live","Juniperus virginiana 'Taylor'")</f>
        <v>Juniperus virginiana 'Taylor'</v>
      </c>
      <c r="B256" s="32" t="s">
        <v>60</v>
      </c>
      <c r="C256" s="32"/>
      <c r="D256" s="33">
        <v>91</v>
      </c>
      <c r="E256" s="34"/>
      <c r="F256" s="35">
        <v>41</v>
      </c>
      <c r="G256" s="32">
        <v>0</v>
      </c>
      <c r="H256" s="37">
        <v>0</v>
      </c>
      <c r="I256" s="38">
        <f t="shared" si="8"/>
        <v>0</v>
      </c>
    </row>
    <row r="257" spans="1:9" ht="10.199999999999999" customHeight="1" x14ac:dyDescent="0.3">
      <c r="A257" s="32" t="str">
        <f>HYPERLINK("http://avail.sbinursery.com/LiveInventoryDetail.aspx?CustomerID=954&amp;intItemKey=499&amp;ProductID=MYRPENS24BB&amp;wWidth=700&amp;wHeight=510&amp;intHort=0&amp;imgProID=0&amp;strUserType=Live","Myrica pensylvanica")</f>
        <v>Myrica pensylvanica</v>
      </c>
      <c r="B257" s="32" t="s">
        <v>53</v>
      </c>
      <c r="C257" s="32"/>
      <c r="D257" s="33">
        <v>49</v>
      </c>
      <c r="E257" s="34"/>
      <c r="F257" s="35">
        <v>51</v>
      </c>
      <c r="G257" s="32">
        <v>0</v>
      </c>
      <c r="H257" s="37">
        <v>0</v>
      </c>
      <c r="I257" s="38">
        <f t="shared" si="8"/>
        <v>0</v>
      </c>
    </row>
    <row r="258" spans="1:9" ht="10.199999999999999" customHeight="1" x14ac:dyDescent="0.3">
      <c r="A258" s="32" t="str">
        <f>HYPERLINK("http://avail.sbinursery.com/LiveInventoryDetail.aspx?CustomerID=954&amp;intItemKey=1030&amp;ProductID=PICGDEN05BB&amp;wWidth=700&amp;wHeight=510&amp;intHort=0&amp;imgProID=PICGDEN05BB&amp;strUserType=Live","Picea glauca 'Densata'")</f>
        <v>Picea glauca 'Densata'</v>
      </c>
      <c r="B258" s="32" t="s">
        <v>60</v>
      </c>
      <c r="C258" s="32"/>
      <c r="D258" s="33">
        <v>157</v>
      </c>
      <c r="E258" s="34"/>
      <c r="F258" s="35">
        <v>9</v>
      </c>
      <c r="G258" s="32">
        <v>0</v>
      </c>
      <c r="H258" s="37">
        <v>0</v>
      </c>
      <c r="I258" s="38">
        <f t="shared" si="8"/>
        <v>0</v>
      </c>
    </row>
    <row r="259" spans="1:9" ht="10.199999999999999" customHeight="1" x14ac:dyDescent="0.3">
      <c r="A259" s="32" t="str">
        <f>HYPERLINK("http://avail.sbinursery.com/LiveInventoryDetail.aspx?CustomerID=954&amp;intItemKey=1030&amp;ProductID=PICGDEN48BB&amp;wWidth=700&amp;wHeight=510&amp;intHort=0&amp;imgProID=PICGDEN48BB&amp;strUserType=Live","Picea glauca 'Densata'")</f>
        <v>Picea glauca 'Densata'</v>
      </c>
      <c r="B259" s="32" t="s">
        <v>64</v>
      </c>
      <c r="C259" s="32"/>
      <c r="D259" s="33">
        <v>134</v>
      </c>
      <c r="E259" s="34"/>
      <c r="F259" s="35">
        <v>1</v>
      </c>
      <c r="G259" s="32">
        <v>0</v>
      </c>
      <c r="H259" s="37">
        <v>0</v>
      </c>
      <c r="I259" s="38">
        <f t="shared" si="8"/>
        <v>0</v>
      </c>
    </row>
    <row r="260" spans="1:9" ht="10.199999999999999" customHeight="1" x14ac:dyDescent="0.3">
      <c r="A260" s="32" t="str">
        <f>HYPERLINK("http://avail.sbinursery.com/LiveInventoryDetail.aspx?CustomerID=954&amp;intItemKey=540&amp;ProductID=PICPGLA05BB&amp;wWidth=700&amp;wHeight=510&amp;intHort=0&amp;imgProID=0&amp;strUserType=Live","Picea pungens 'Glauca'")</f>
        <v>Picea pungens 'Glauca'</v>
      </c>
      <c r="B260" s="32" t="s">
        <v>60</v>
      </c>
      <c r="C260" s="32"/>
      <c r="D260" s="33">
        <v>157</v>
      </c>
      <c r="E260" s="34"/>
      <c r="F260" s="35">
        <v>43</v>
      </c>
      <c r="G260" s="32">
        <v>0</v>
      </c>
      <c r="H260" s="37">
        <v>0</v>
      </c>
      <c r="I260" s="38">
        <f t="shared" si="8"/>
        <v>0</v>
      </c>
    </row>
    <row r="261" spans="1:9" ht="10.199999999999999" customHeight="1" x14ac:dyDescent="0.3">
      <c r="A261" s="32" t="str">
        <f>HYPERLINK("http://avail.sbinursery.com/LiveInventoryDetail.aspx?CustomerID=954&amp;intItemKey=540&amp;ProductID=PICPGLA06BB&amp;wWidth=700&amp;wHeight=510&amp;intHort=0&amp;imgProID=0&amp;strUserType=Live","Picea pungens 'Glauca'")</f>
        <v>Picea pungens 'Glauca'</v>
      </c>
      <c r="B261" s="32" t="s">
        <v>62</v>
      </c>
      <c r="C261" s="32"/>
      <c r="D261" s="33">
        <v>184</v>
      </c>
      <c r="E261" s="34"/>
      <c r="F261" s="35">
        <v>4</v>
      </c>
      <c r="G261" s="32">
        <v>0</v>
      </c>
      <c r="H261" s="37">
        <v>0</v>
      </c>
      <c r="I261" s="38">
        <f t="shared" si="8"/>
        <v>0</v>
      </c>
    </row>
    <row r="262" spans="1:9" ht="10.199999999999999" customHeight="1" x14ac:dyDescent="0.3">
      <c r="A262" s="32" t="str">
        <f>HYPERLINK("http://avail.sbinursery.com/LiveInventoryDetail.aspx?CustomerID=954&amp;intItemKey=1859&amp;ProductID=PICPTHO05BB&amp;wWidth=700&amp;wHeight=510&amp;intHort=0&amp;imgProID=0&amp;strUserType=Live","Picea pungens 'Thomsenii'")</f>
        <v>Picea pungens 'Thomsenii'</v>
      </c>
      <c r="B262" s="32" t="s">
        <v>60</v>
      </c>
      <c r="C262" s="32"/>
      <c r="D262" s="33">
        <v>157</v>
      </c>
      <c r="E262" s="34"/>
      <c r="F262" s="35">
        <v>5</v>
      </c>
      <c r="G262" s="32">
        <v>0</v>
      </c>
      <c r="H262" s="37">
        <v>0</v>
      </c>
      <c r="I262" s="38">
        <f t="shared" si="8"/>
        <v>0</v>
      </c>
    </row>
    <row r="263" spans="1:9" ht="10.199999999999999" customHeight="1" x14ac:dyDescent="0.3">
      <c r="A263" s="32" t="str">
        <f>HYPERLINK("http://avail.sbinursery.com/LiveInventoryDetail.aspx?CustomerID=954&amp;intItemKey=1859&amp;ProductID=PICPTHO06BB&amp;wWidth=700&amp;wHeight=510&amp;intHort=0&amp;imgProID=0&amp;strUserType=Live","Picea pungens 'Thomsenii'")</f>
        <v>Picea pungens 'Thomsenii'</v>
      </c>
      <c r="B263" s="32" t="s">
        <v>62</v>
      </c>
      <c r="C263" s="32"/>
      <c r="D263" s="33">
        <v>184</v>
      </c>
      <c r="E263" s="34"/>
      <c r="F263" s="35">
        <v>1</v>
      </c>
      <c r="G263" s="32">
        <v>0</v>
      </c>
      <c r="H263" s="37">
        <v>0</v>
      </c>
      <c r="I263" s="38">
        <f t="shared" si="8"/>
        <v>0</v>
      </c>
    </row>
    <row r="264" spans="1:9" ht="10.199999999999999" customHeight="1" x14ac:dyDescent="0.3">
      <c r="A264" s="32" t="str">
        <f>HYPERLINK("http://avail.sbinursery.com/LiveInventoryDetail.aspx?CustomerID=954&amp;intItemKey=1633&amp;ProductID=PICPVAN06BB&amp;wWidth=700&amp;wHeight=510&amp;intHort=0&amp;imgProID=PICPVAN06BB&amp;strUserType=Live","Picea p. g. 'Van-Sikes'")</f>
        <v>Picea p. g. 'Van-Sikes'</v>
      </c>
      <c r="B264" s="32" t="s">
        <v>62</v>
      </c>
      <c r="C264" s="32"/>
      <c r="D264" s="33">
        <v>184</v>
      </c>
      <c r="E264" s="34"/>
      <c r="F264" s="35">
        <v>1</v>
      </c>
      <c r="G264" s="32">
        <v>0</v>
      </c>
      <c r="H264" s="37">
        <v>0</v>
      </c>
      <c r="I264" s="38">
        <f t="shared" si="8"/>
        <v>0</v>
      </c>
    </row>
    <row r="265" spans="1:9" ht="10.199999999999999" customHeight="1" x14ac:dyDescent="0.3">
      <c r="A265" s="32" t="str">
        <f>HYPERLINK("http://avail.sbinursery.com/LiveInventoryDetail.aspx?CustomerID=954&amp;intItemKey=1633&amp;ProductID=PICPVAN48BB&amp;wWidth=700&amp;wHeight=510&amp;intHort=0&amp;imgProID=PICPVAN48BB&amp;strUserType=Live","Picea p. g. 'Van-Sikes'")</f>
        <v>Picea p. g. 'Van-Sikes'</v>
      </c>
      <c r="B265" s="32" t="s">
        <v>64</v>
      </c>
      <c r="C265" s="32"/>
      <c r="D265" s="33">
        <v>134</v>
      </c>
      <c r="E265" s="34"/>
      <c r="F265" s="35">
        <v>2</v>
      </c>
      <c r="G265" s="32">
        <v>0</v>
      </c>
      <c r="H265" s="37">
        <v>0</v>
      </c>
      <c r="I265" s="38">
        <f t="shared" si="8"/>
        <v>0</v>
      </c>
    </row>
    <row r="266" spans="1:9" ht="10.199999999999999" customHeight="1" x14ac:dyDescent="0.3">
      <c r="A266" s="32" t="str">
        <f>HYPERLINK("http://avail.sbinursery.com/LiveInventoryDetail.aspx?CustomerID=954&amp;intItemKey=1632&amp;ProductID=PINFLEX06BB&amp;wWidth=700&amp;wHeight=510&amp;intHort=0&amp;imgProID=PINFLEX06BB&amp;strUserType=Live","Pinus flexilis")</f>
        <v>Pinus flexilis</v>
      </c>
      <c r="B266" s="32" t="s">
        <v>62</v>
      </c>
      <c r="C266" s="32"/>
      <c r="D266" s="33">
        <v>184</v>
      </c>
      <c r="E266" s="34"/>
      <c r="F266" s="35">
        <v>1</v>
      </c>
      <c r="G266" s="32">
        <v>0</v>
      </c>
      <c r="H266" s="37">
        <v>0</v>
      </c>
      <c r="I266" s="38">
        <f t="shared" si="8"/>
        <v>0</v>
      </c>
    </row>
    <row r="267" spans="1:9" ht="10.199999999999999" customHeight="1" x14ac:dyDescent="0.3">
      <c r="A267" s="32" t="str">
        <f>HYPERLINK("http://avail.sbinursery.com/LiveInventoryDetail.aspx?CustomerID=954&amp;intItemKey=1795&amp;ProductID=SYRVALB30BB&amp;wWidth=700&amp;wHeight=510&amp;intHort=0&amp;imgProID=SYRVALB30BB&amp;strUserType=Live","Syringa vulgaris alba (white)")</f>
        <v>Syringa vulgaris alba (white)</v>
      </c>
      <c r="B267" s="32" t="s">
        <v>58</v>
      </c>
      <c r="C267" s="32"/>
      <c r="D267" s="33">
        <v>45.5</v>
      </c>
      <c r="E267" s="34"/>
      <c r="F267" s="35">
        <v>4</v>
      </c>
      <c r="G267" s="32">
        <v>0</v>
      </c>
      <c r="H267" s="37">
        <v>0</v>
      </c>
      <c r="I267" s="38">
        <f t="shared" ref="I267:I296" si="9">PRODUCT(D267,H267)</f>
        <v>0</v>
      </c>
    </row>
    <row r="268" spans="1:9" ht="10.199999999999999" customHeight="1" x14ac:dyDescent="0.3">
      <c r="A268" s="32" t="str">
        <f>HYPERLINK("http://avail.sbinursery.com/LiveInventoryDetail.aspx?CustomerID=954&amp;intItemKey=1795&amp;ProductID=SYRVALB36BB&amp;wWidth=700&amp;wHeight=510&amp;intHort=0&amp;imgProID=SYRVALB36BB&amp;strUserType=Live","Syringa vulgaris alba (white)")</f>
        <v>Syringa vulgaris alba (white)</v>
      </c>
      <c r="B268" s="32" t="s">
        <v>63</v>
      </c>
      <c r="C268" s="32"/>
      <c r="D268" s="33">
        <v>52</v>
      </c>
      <c r="E268" s="34"/>
      <c r="F268" s="35">
        <v>6</v>
      </c>
      <c r="G268" s="32">
        <v>0</v>
      </c>
      <c r="H268" s="37">
        <v>0</v>
      </c>
      <c r="I268" s="38">
        <f t="shared" si="9"/>
        <v>0</v>
      </c>
    </row>
    <row r="269" spans="1:9" ht="10.199999999999999" customHeight="1" x14ac:dyDescent="0.3">
      <c r="A269" s="32" t="str">
        <f>HYPERLINK("http://avail.sbinursery.com/LiveInventoryDetail.aspx?CustomerID=954&amp;intItemKey=793&amp;ProductID=SYRVPRE06BB&amp;wWidth=700&amp;wHeight=510&amp;intHort=0&amp;imgProID=0&amp;strUserType=Live","Syringa vulgaris 'President Grevy' (blue)")</f>
        <v>Syringa vulgaris 'President Grevy' (blue)</v>
      </c>
      <c r="B269" s="32" t="s">
        <v>62</v>
      </c>
      <c r="C269" s="32"/>
      <c r="D269" s="33">
        <v>103</v>
      </c>
      <c r="E269" s="34"/>
      <c r="F269" s="35">
        <v>2</v>
      </c>
      <c r="G269" s="32">
        <v>0</v>
      </c>
      <c r="H269" s="37">
        <v>0</v>
      </c>
      <c r="I269" s="38">
        <f t="shared" si="9"/>
        <v>0</v>
      </c>
    </row>
    <row r="270" spans="1:9" ht="10.199999999999999" customHeight="1" x14ac:dyDescent="0.3">
      <c r="A270" s="32" t="str">
        <f>HYPERLINK("http://avail.sbinursery.com/LiveInventoryDetail.aspx?CustomerID=954&amp;intItemKey=793&amp;ProductID=SYRVPRE30BB&amp;wWidth=700&amp;wHeight=510&amp;intHort=0&amp;imgProID=SYRVPRE30BB&amp;strUserType=Live","Syringa vulgaris 'President Grevy' (blue)")</f>
        <v>Syringa vulgaris 'President Grevy' (blue)</v>
      </c>
      <c r="B270" s="32" t="s">
        <v>58</v>
      </c>
      <c r="C270" s="32"/>
      <c r="D270" s="33">
        <v>45.5</v>
      </c>
      <c r="E270" s="34"/>
      <c r="F270" s="35">
        <v>39</v>
      </c>
      <c r="G270" s="32">
        <v>0</v>
      </c>
      <c r="H270" s="37">
        <v>0</v>
      </c>
      <c r="I270" s="38">
        <f t="shared" si="9"/>
        <v>0</v>
      </c>
    </row>
    <row r="271" spans="1:9" ht="10.199999999999999" customHeight="1" x14ac:dyDescent="0.3">
      <c r="A271" s="32" t="str">
        <f>HYPERLINK("http://avail.sbinursery.com/LiveInventoryDetail.aspx?CustomerID=954&amp;intItemKey=793&amp;ProductID=SYRVPRE36BB&amp;wWidth=700&amp;wHeight=510&amp;intHort=0&amp;imgProID=SYRVPRE36BB&amp;strUserType=Live","Syringa vulgaris 'President Grevy' (blue)")</f>
        <v>Syringa vulgaris 'President Grevy' (blue)</v>
      </c>
      <c r="B271" s="32" t="s">
        <v>63</v>
      </c>
      <c r="C271" s="32"/>
      <c r="D271" s="33">
        <v>52</v>
      </c>
      <c r="E271" s="34"/>
      <c r="F271" s="35">
        <v>12</v>
      </c>
      <c r="G271" s="32">
        <v>0</v>
      </c>
      <c r="H271" s="37">
        <v>0</v>
      </c>
      <c r="I271" s="38">
        <f t="shared" si="9"/>
        <v>0</v>
      </c>
    </row>
    <row r="272" spans="1:9" ht="10.199999999999999" customHeight="1" x14ac:dyDescent="0.3">
      <c r="A272" s="32" t="str">
        <f>HYPERLINK("http://avail.sbinursery.com/LiveInventoryDetail.aspx?CustomerID=954&amp;intItemKey=793&amp;ProductID=SYRVPRE48BB&amp;wWidth=700&amp;wHeight=510&amp;intHort=0&amp;imgProID=SYRVPRE48BB&amp;strUserType=Live","Syringa vulgaris 'President Grevy' (blue)")</f>
        <v>Syringa vulgaris 'President Grevy' (blue)</v>
      </c>
      <c r="B272" s="32" t="s">
        <v>64</v>
      </c>
      <c r="C272" s="32"/>
      <c r="D272" s="33">
        <v>75</v>
      </c>
      <c r="E272" s="34"/>
      <c r="F272" s="35">
        <v>1</v>
      </c>
      <c r="G272" s="32">
        <v>0</v>
      </c>
      <c r="H272" s="37">
        <v>0</v>
      </c>
      <c r="I272" s="38">
        <f t="shared" si="9"/>
        <v>0</v>
      </c>
    </row>
    <row r="273" spans="1:9" ht="10.199999999999999" customHeight="1" x14ac:dyDescent="0.3">
      <c r="A273" s="32" t="str">
        <f>HYPERLINK("http://avail.sbinursery.com/LiveInventoryDetail.aspx?CustomerID=954&amp;intItemKey=794&amp;ProductID=SYRVSEN05BB&amp;wWidth=700&amp;wHeight=510&amp;intHort=0&amp;imgProID=SYRVSEN05BB&amp;strUserType=Live","Syringa vulgaris 'Sensation' (purple with white border)")</f>
        <v>Syringa vulgaris 'Sensation' (purple with white border)</v>
      </c>
      <c r="B273" s="32" t="s">
        <v>60</v>
      </c>
      <c r="C273" s="32"/>
      <c r="D273" s="33">
        <v>93.5</v>
      </c>
      <c r="E273" s="34"/>
      <c r="F273" s="35">
        <v>4</v>
      </c>
      <c r="G273" s="32">
        <v>0</v>
      </c>
      <c r="H273" s="37">
        <v>0</v>
      </c>
      <c r="I273" s="38">
        <f t="shared" si="9"/>
        <v>0</v>
      </c>
    </row>
    <row r="274" spans="1:9" ht="10.199999999999999" customHeight="1" x14ac:dyDescent="0.3">
      <c r="A274" s="32" t="str">
        <f>HYPERLINK("http://avail.sbinursery.com/LiveInventoryDetail.aspx?CustomerID=954&amp;intItemKey=794&amp;ProductID=SYRVSEN30BB&amp;wWidth=700&amp;wHeight=510&amp;intHort=0&amp;imgProID=SYRVSEN30BB&amp;strUserType=Live","Syringa vulgaris 'Sensation' (purple with white border)")</f>
        <v>Syringa vulgaris 'Sensation' (purple with white border)</v>
      </c>
      <c r="B274" s="32" t="s">
        <v>58</v>
      </c>
      <c r="C274" s="32"/>
      <c r="D274" s="33">
        <v>45.5</v>
      </c>
      <c r="E274" s="34"/>
      <c r="F274" s="35">
        <v>23</v>
      </c>
      <c r="G274" s="32">
        <v>0</v>
      </c>
      <c r="H274" s="37">
        <v>0</v>
      </c>
      <c r="I274" s="38">
        <f t="shared" si="9"/>
        <v>0</v>
      </c>
    </row>
    <row r="275" spans="1:9" ht="10.199999999999999" customHeight="1" x14ac:dyDescent="0.3">
      <c r="A275" s="32" t="str">
        <f>HYPERLINK("http://avail.sbinursery.com/LiveInventoryDetail.aspx?CustomerID=954&amp;intItemKey=794&amp;ProductID=SYRVSEN36BB&amp;wWidth=700&amp;wHeight=510&amp;intHort=0&amp;imgProID=SYRVSEN36BB&amp;strUserType=Live","Syringa vulgaris 'Sensation' (purple with white border)")</f>
        <v>Syringa vulgaris 'Sensation' (purple with white border)</v>
      </c>
      <c r="B275" s="32" t="s">
        <v>63</v>
      </c>
      <c r="C275" s="32"/>
      <c r="D275" s="33">
        <v>52</v>
      </c>
      <c r="E275" s="34"/>
      <c r="F275" s="35">
        <v>21</v>
      </c>
      <c r="G275" s="32">
        <v>0</v>
      </c>
      <c r="H275" s="37">
        <v>0</v>
      </c>
      <c r="I275" s="38">
        <f t="shared" si="9"/>
        <v>0</v>
      </c>
    </row>
    <row r="276" spans="1:9" ht="10.199999999999999" customHeight="1" x14ac:dyDescent="0.3">
      <c r="A276" s="32" t="str">
        <f>HYPERLINK("http://avail.sbinursery.com/LiveInventoryDetail.aspx?CustomerID=954&amp;intItemKey=794&amp;ProductID=SYRVSEN48BB&amp;wWidth=700&amp;wHeight=510&amp;intHort=0&amp;imgProID=SYRVSEN48BB&amp;strUserType=Live","Syringa vulgaris 'Sensation' (purple with white border)")</f>
        <v>Syringa vulgaris 'Sensation' (purple with white border)</v>
      </c>
      <c r="B276" s="32" t="s">
        <v>64</v>
      </c>
      <c r="C276" s="32"/>
      <c r="D276" s="33">
        <v>75</v>
      </c>
      <c r="E276" s="34"/>
      <c r="F276" s="35">
        <v>1</v>
      </c>
      <c r="G276" s="32">
        <v>0</v>
      </c>
      <c r="H276" s="37">
        <v>0</v>
      </c>
      <c r="I276" s="38">
        <f t="shared" si="9"/>
        <v>0</v>
      </c>
    </row>
    <row r="277" spans="1:9" ht="10.199999999999999" customHeight="1" x14ac:dyDescent="0.3">
      <c r="A277" s="32" t="str">
        <f>HYPERLINK("http://avail.sbinursery.com/LiveInventoryDetail.aspx?CustomerID=954&amp;intItemKey=1796&amp;ProductID=SYRXDEC05BB&amp;wWidth=700&amp;wHeight=510&amp;intHort=0&amp;imgProID=SYRXDEC05BB&amp;strUserType=Live","Syringa x 'Declaration' (reddish purple)")</f>
        <v>Syringa x 'Declaration' (reddish purple)</v>
      </c>
      <c r="B277" s="32" t="s">
        <v>60</v>
      </c>
      <c r="C277" s="32"/>
      <c r="D277" s="33">
        <v>93.5</v>
      </c>
      <c r="E277" s="34"/>
      <c r="F277" s="35">
        <v>8</v>
      </c>
      <c r="G277" s="32">
        <v>0</v>
      </c>
      <c r="H277" s="37">
        <v>0</v>
      </c>
      <c r="I277" s="38">
        <f t="shared" si="9"/>
        <v>0</v>
      </c>
    </row>
    <row r="278" spans="1:9" ht="10.199999999999999" customHeight="1" x14ac:dyDescent="0.3">
      <c r="A278" s="32" t="str">
        <f>HYPERLINK("http://avail.sbinursery.com/LiveInventoryDetail.aspx?CustomerID=954&amp;intItemKey=1796&amp;ProductID=SYRXDEC48BB&amp;wWidth=700&amp;wHeight=510&amp;intHort=0&amp;imgProID=SYRXDEC48BB&amp;strUserType=Live","Syringa x 'Declaration' (reddish purple)")</f>
        <v>Syringa x 'Declaration' (reddish purple)</v>
      </c>
      <c r="B278" s="32" t="s">
        <v>64</v>
      </c>
      <c r="C278" s="32"/>
      <c r="D278" s="33">
        <v>75</v>
      </c>
      <c r="E278" s="34"/>
      <c r="F278" s="35">
        <v>8</v>
      </c>
      <c r="G278" s="32">
        <v>0</v>
      </c>
      <c r="H278" s="37">
        <v>0</v>
      </c>
      <c r="I278" s="38">
        <f t="shared" si="9"/>
        <v>0</v>
      </c>
    </row>
    <row r="279" spans="1:9" ht="10.199999999999999" customHeight="1" x14ac:dyDescent="0.3">
      <c r="A279" s="32" t="str">
        <f>HYPERLINK("http://avail.sbinursery.com/LiveInventoryDetail.aspx?CustomerID=954&amp;intItemKey=1388&amp;ProductID=THUODEG05BB&amp;wWidth=700&amp;wHeight=510&amp;intHort=0&amp;imgProID=THUODEG05BB&amp;strUserType=Live","Thuja occidentalis 'Degroot's Spire'")</f>
        <v>Thuja occidentalis 'Degroot's Spire'</v>
      </c>
      <c r="B279" s="32" t="s">
        <v>60</v>
      </c>
      <c r="C279" s="32"/>
      <c r="D279" s="33">
        <v>81</v>
      </c>
      <c r="E279" s="34"/>
      <c r="F279" s="35">
        <v>153</v>
      </c>
      <c r="G279" s="32">
        <v>0</v>
      </c>
      <c r="H279" s="37">
        <v>0</v>
      </c>
      <c r="I279" s="38">
        <f t="shared" si="9"/>
        <v>0</v>
      </c>
    </row>
    <row r="280" spans="1:9" ht="10.199999999999999" customHeight="1" x14ac:dyDescent="0.3">
      <c r="A280" s="32" t="str">
        <f>HYPERLINK("http://avail.sbinursery.com/LiveInventoryDetail.aspx?CustomerID=954&amp;intItemKey=1388&amp;ProductID=THUODEG06BB&amp;wWidth=700&amp;wHeight=510&amp;intHort=0&amp;imgProID=THUODEG06BB&amp;strUserType=Live","Thuja occidentalis 'Degroot's Spire'")</f>
        <v>Thuja occidentalis 'Degroot's Spire'</v>
      </c>
      <c r="B280" s="32" t="s">
        <v>62</v>
      </c>
      <c r="C280" s="32"/>
      <c r="D280" s="33">
        <v>98</v>
      </c>
      <c r="E280" s="34"/>
      <c r="F280" s="35">
        <v>76</v>
      </c>
      <c r="G280" s="32">
        <v>0</v>
      </c>
      <c r="H280" s="37">
        <v>0</v>
      </c>
      <c r="I280" s="38">
        <f t="shared" si="9"/>
        <v>0</v>
      </c>
    </row>
    <row r="281" spans="1:9" ht="10.199999999999999" customHeight="1" x14ac:dyDescent="0.3">
      <c r="A281" s="32" t="str">
        <f>HYPERLINK("http://avail.sbinursery.com/LiveInventoryDetail.aspx?CustomerID=954&amp;intItemKey=1388&amp;ProductID=THUODEG07BB&amp;wWidth=700&amp;wHeight=510&amp;intHort=0&amp;imgProID=THUODEG07BB&amp;strUserType=Live","Thuja occidentalis 'Degroot's Spire'")</f>
        <v>Thuja occidentalis 'Degroot's Spire'</v>
      </c>
      <c r="B281" s="32" t="s">
        <v>65</v>
      </c>
      <c r="C281" s="32"/>
      <c r="D281" s="33">
        <v>128</v>
      </c>
      <c r="E281" s="34"/>
      <c r="F281" s="35">
        <v>2</v>
      </c>
      <c r="G281" s="32">
        <v>0</v>
      </c>
      <c r="H281" s="37">
        <v>0</v>
      </c>
      <c r="I281" s="38">
        <f t="shared" si="9"/>
        <v>0</v>
      </c>
    </row>
    <row r="282" spans="1:9" ht="10.199999999999999" customHeight="1" x14ac:dyDescent="0.3">
      <c r="A282" s="32" t="str">
        <f>HYPERLINK("http://avail.sbinursery.com/LiveInventoryDetail.aspx?CustomerID=954&amp;intItemKey=698&amp;ProductID=THUOELE05BB&amp;wWidth=700&amp;wHeight=510&amp;intHort=0&amp;imgProID=THUOELE05BB&amp;strUserType=Live","Thuja orientalis 'Elegantissima'")</f>
        <v>Thuja orientalis 'Elegantissima'</v>
      </c>
      <c r="B282" s="32" t="s">
        <v>60</v>
      </c>
      <c r="C282" s="32"/>
      <c r="D282" s="33">
        <v>72</v>
      </c>
      <c r="E282" s="34"/>
      <c r="F282" s="35">
        <v>34</v>
      </c>
      <c r="G282" s="32">
        <v>0</v>
      </c>
      <c r="H282" s="37">
        <v>0</v>
      </c>
      <c r="I282" s="38">
        <f t="shared" si="9"/>
        <v>0</v>
      </c>
    </row>
    <row r="283" spans="1:9" ht="10.199999999999999" customHeight="1" x14ac:dyDescent="0.3">
      <c r="A283" s="32" t="str">
        <f>HYPERLINK("http://avail.sbinursery.com/LiveInventoryDetail.aspx?CustomerID=954&amp;intItemKey=698&amp;ProductID=THUOELE06BB&amp;wWidth=700&amp;wHeight=510&amp;intHort=0&amp;imgProID=THUOELE06BB&amp;strUserType=Live","Thuja orientalis 'Elegantissima'")</f>
        <v>Thuja orientalis 'Elegantissima'</v>
      </c>
      <c r="B283" s="32" t="s">
        <v>62</v>
      </c>
      <c r="C283" s="32"/>
      <c r="D283" s="33">
        <v>87</v>
      </c>
      <c r="E283" s="34"/>
      <c r="F283" s="35">
        <v>76</v>
      </c>
      <c r="G283" s="32">
        <v>0</v>
      </c>
      <c r="H283" s="37">
        <v>0</v>
      </c>
      <c r="I283" s="38">
        <f t="shared" si="9"/>
        <v>0</v>
      </c>
    </row>
    <row r="284" spans="1:9" ht="10.199999999999999" customHeight="1" x14ac:dyDescent="0.3">
      <c r="A284" s="32" t="str">
        <f>HYPERLINK("http://avail.sbinursery.com/LiveInventoryDetail.aspx?CustomerID=954&amp;intItemKey=698&amp;ProductID=THUOELE07BB&amp;wWidth=700&amp;wHeight=510&amp;intHort=0&amp;imgProID=0&amp;strUserType=Live","Thuja orientalis 'Elegantissima'")</f>
        <v>Thuja orientalis 'Elegantissima'</v>
      </c>
      <c r="B284" s="32" t="s">
        <v>65</v>
      </c>
      <c r="C284" s="32"/>
      <c r="D284" s="33">
        <v>114</v>
      </c>
      <c r="E284" s="34"/>
      <c r="F284" s="35">
        <v>44</v>
      </c>
      <c r="G284" s="32">
        <v>0</v>
      </c>
      <c r="H284" s="37">
        <v>0</v>
      </c>
      <c r="I284" s="38">
        <f t="shared" si="9"/>
        <v>0</v>
      </c>
    </row>
    <row r="285" spans="1:9" ht="10.199999999999999" customHeight="1" x14ac:dyDescent="0.3">
      <c r="A285" s="32" t="str">
        <f>HYPERLINK("http://avail.sbinursery.com/LiveInventoryDetail.aspx?CustomerID=954&amp;intItemKey=698&amp;ProductID=THUOELE08BB&amp;wWidth=700&amp;wHeight=510&amp;intHort=0&amp;imgProID=0&amp;strUserType=Live","Thuja orientalis 'Elegantissima'")</f>
        <v>Thuja orientalis 'Elegantissima'</v>
      </c>
      <c r="B285" s="32" t="s">
        <v>67</v>
      </c>
      <c r="C285" s="32"/>
      <c r="D285" s="33">
        <v>148</v>
      </c>
      <c r="E285" s="34"/>
      <c r="F285" s="35">
        <v>1</v>
      </c>
      <c r="G285" s="32">
        <v>0</v>
      </c>
      <c r="H285" s="37">
        <v>0</v>
      </c>
      <c r="I285" s="38">
        <f t="shared" si="9"/>
        <v>0</v>
      </c>
    </row>
    <row r="286" spans="1:9" ht="10.199999999999999" customHeight="1" x14ac:dyDescent="0.3">
      <c r="A286" s="32" t="str">
        <f>HYPERLINK("http://avail.sbinursery.com/LiveInventoryDetail.aspx?CustomerID=954&amp;intItemKey=698&amp;ProductID=THUOELE09BB&amp;wWidth=700&amp;wHeight=510&amp;intHort=0&amp;imgProID=0&amp;strUserType=Live","Thuja orientalis 'Elegantissima'")</f>
        <v>Thuja orientalis 'Elegantissima'</v>
      </c>
      <c r="B286" s="32" t="s">
        <v>68</v>
      </c>
      <c r="C286" s="32"/>
      <c r="D286" s="33">
        <v>170</v>
      </c>
      <c r="E286" s="34"/>
      <c r="F286" s="35">
        <v>1</v>
      </c>
      <c r="G286" s="32">
        <v>0</v>
      </c>
      <c r="H286" s="37">
        <v>0</v>
      </c>
      <c r="I286" s="38">
        <f t="shared" si="9"/>
        <v>0</v>
      </c>
    </row>
    <row r="287" spans="1:9" ht="10.199999999999999" customHeight="1" x14ac:dyDescent="0.3">
      <c r="A287" s="32" t="str">
        <f>HYPERLINK("http://avail.sbinursery.com/LiveInventoryDetail.aspx?CustomerID=954&amp;intItemKey=688&amp;ProductID=THUOEME05BB&amp;wWidth=700&amp;wHeight=510&amp;intHort=0&amp;imgProID=THUOEME05BB&amp;strUserType=Live","Thuja occidentalis 'Emerald'")</f>
        <v>Thuja occidentalis 'Emerald'</v>
      </c>
      <c r="B287" s="32" t="s">
        <v>60</v>
      </c>
      <c r="C287" s="32"/>
      <c r="D287" s="33">
        <v>72</v>
      </c>
      <c r="E287" s="34"/>
      <c r="F287" s="35">
        <v>1113</v>
      </c>
      <c r="G287" s="32">
        <v>0</v>
      </c>
      <c r="H287" s="37">
        <v>0</v>
      </c>
      <c r="I287" s="38">
        <f t="shared" si="9"/>
        <v>0</v>
      </c>
    </row>
    <row r="288" spans="1:9" ht="10.199999999999999" customHeight="1" x14ac:dyDescent="0.3">
      <c r="A288" s="32" t="str">
        <f>HYPERLINK("http://avail.sbinursery.com/LiveInventoryDetail.aspx?CustomerID=954&amp;intItemKey=688&amp;ProductID=THUOEME06BB&amp;wWidth=700&amp;wHeight=510&amp;intHort=0&amp;imgProID=THUOEME06BB&amp;strUserType=Live","Thuja occidentalis 'Emerald'")</f>
        <v>Thuja occidentalis 'Emerald'</v>
      </c>
      <c r="B288" s="32" t="s">
        <v>62</v>
      </c>
      <c r="C288" s="32"/>
      <c r="D288" s="33">
        <v>87</v>
      </c>
      <c r="E288" s="34"/>
      <c r="F288" s="35">
        <v>714</v>
      </c>
      <c r="G288" s="32">
        <v>0</v>
      </c>
      <c r="H288" s="37">
        <v>0</v>
      </c>
      <c r="I288" s="38">
        <f t="shared" si="9"/>
        <v>0</v>
      </c>
    </row>
    <row r="289" spans="1:9" ht="10.199999999999999" customHeight="1" x14ac:dyDescent="0.3">
      <c r="A289" s="32" t="str">
        <f>HYPERLINK("http://avail.sbinursery.com/LiveInventoryDetail.aspx?CustomerID=954&amp;intItemKey=688&amp;ProductID=THUOEME07BB&amp;wWidth=700&amp;wHeight=510&amp;intHort=0&amp;imgProID=THUOEME07BB&amp;strUserType=Live","Thuja occidentalis 'Emerald'")</f>
        <v>Thuja occidentalis 'Emerald'</v>
      </c>
      <c r="B289" s="32" t="s">
        <v>65</v>
      </c>
      <c r="C289" s="32"/>
      <c r="D289" s="33">
        <v>114</v>
      </c>
      <c r="E289" s="34"/>
      <c r="F289" s="35">
        <v>259</v>
      </c>
      <c r="G289" s="32">
        <v>0</v>
      </c>
      <c r="H289" s="37">
        <v>0</v>
      </c>
      <c r="I289" s="38">
        <f t="shared" si="9"/>
        <v>0</v>
      </c>
    </row>
    <row r="290" spans="1:9" ht="10.199999999999999" customHeight="1" x14ac:dyDescent="0.3">
      <c r="A290" s="32" t="str">
        <f>HYPERLINK("http://avail.sbinursery.com/LiveInventoryDetail.aspx?CustomerID=954&amp;intItemKey=688&amp;ProductID=THUOEME08BB&amp;wWidth=700&amp;wHeight=510&amp;intHort=0&amp;imgProID=THUOEME08BB&amp;strUserType=Live","Thuja occidentalis 'Emerald'")</f>
        <v>Thuja occidentalis 'Emerald'</v>
      </c>
      <c r="B290" s="32" t="s">
        <v>67</v>
      </c>
      <c r="C290" s="32"/>
      <c r="D290" s="33">
        <v>148</v>
      </c>
      <c r="E290" s="34"/>
      <c r="F290" s="35">
        <v>1</v>
      </c>
      <c r="G290" s="32">
        <v>0</v>
      </c>
      <c r="H290" s="37">
        <v>0</v>
      </c>
      <c r="I290" s="38">
        <f t="shared" si="9"/>
        <v>0</v>
      </c>
    </row>
    <row r="291" spans="1:9" ht="10.199999999999999" customHeight="1" x14ac:dyDescent="0.3">
      <c r="A291" s="32" t="str">
        <f>HYPERLINK("http://avail.sbinursery.com/LiveInventoryDetail.aspx?CustomerID=954&amp;intItemKey=688&amp;ProductID=THUOEME09BB&amp;wWidth=700&amp;wHeight=510&amp;intHort=0&amp;imgProID=0&amp;strUserType=Live","Thuja occidentalis 'Emerald'")</f>
        <v>Thuja occidentalis 'Emerald'</v>
      </c>
      <c r="B291" s="32" t="s">
        <v>68</v>
      </c>
      <c r="C291" s="32"/>
      <c r="D291" s="33">
        <v>170</v>
      </c>
      <c r="E291" s="34"/>
      <c r="F291" s="35">
        <v>1</v>
      </c>
      <c r="G291" s="32">
        <v>0</v>
      </c>
      <c r="H291" s="37">
        <v>0</v>
      </c>
      <c r="I291" s="38">
        <f t="shared" si="9"/>
        <v>0</v>
      </c>
    </row>
    <row r="292" spans="1:9" ht="10.199999999999999" customHeight="1" x14ac:dyDescent="0.3">
      <c r="A292" s="32" t="str">
        <f>HYPERLINK("http://avail.sbinursery.com/LiveInventoryDetail.aspx?CustomerID=954&amp;intItemKey=695&amp;ProductID=THUOTEC06BB&amp;wWidth=700&amp;wHeight=510&amp;intHort=0&amp;imgProID=THUOTEC06BB&amp;strUserType=Live","Thuja occidentalis 'Techny'")</f>
        <v>Thuja occidentalis 'Techny'</v>
      </c>
      <c r="B292" s="32" t="s">
        <v>62</v>
      </c>
      <c r="C292" s="32"/>
      <c r="D292" s="33">
        <v>95</v>
      </c>
      <c r="E292" s="34"/>
      <c r="F292" s="35">
        <v>101</v>
      </c>
      <c r="G292" s="32">
        <v>0</v>
      </c>
      <c r="H292" s="37">
        <v>0</v>
      </c>
      <c r="I292" s="38">
        <f t="shared" si="9"/>
        <v>0</v>
      </c>
    </row>
    <row r="293" spans="1:9" ht="10.199999999999999" customHeight="1" x14ac:dyDescent="0.3">
      <c r="A293" s="32" t="str">
        <f>HYPERLINK("http://avail.sbinursery.com/LiveInventoryDetail.aspx?CustomerID=954&amp;intItemKey=695&amp;ProductID=THUOTEC07BBI&amp;wWidth=700&amp;wHeight=510&amp;intHort=0&amp;imgProID=0&amp;strUserType=Live","Thuja occidentalis 'Techny'")</f>
        <v>Thuja occidentalis 'Techny'</v>
      </c>
      <c r="B293" s="32" t="s">
        <v>66</v>
      </c>
      <c r="C293" s="32"/>
      <c r="D293" s="33">
        <v>70</v>
      </c>
      <c r="E293" s="34"/>
      <c r="F293" s="35">
        <v>22</v>
      </c>
      <c r="G293" s="32">
        <v>0</v>
      </c>
      <c r="H293" s="37">
        <v>0</v>
      </c>
      <c r="I293" s="38">
        <f t="shared" si="9"/>
        <v>0</v>
      </c>
    </row>
    <row r="294" spans="1:9" ht="10.199999999999999" customHeight="1" x14ac:dyDescent="0.3">
      <c r="A294" s="32" t="str">
        <f>HYPERLINK("http://avail.sbinursery.com/LiveInventoryDetail.aspx?CustomerID=954&amp;intItemKey=695&amp;ProductID=THUOTEC08BB&amp;wWidth=700&amp;wHeight=510&amp;intHort=0&amp;imgProID=THUOTEC08BB&amp;strUserType=Live","Thuja occidentalis 'Techny'")</f>
        <v>Thuja occidentalis 'Techny'</v>
      </c>
      <c r="B294" s="32" t="s">
        <v>67</v>
      </c>
      <c r="C294" s="32"/>
      <c r="D294" s="33">
        <v>161</v>
      </c>
      <c r="E294" s="34"/>
      <c r="F294" s="35">
        <v>2</v>
      </c>
      <c r="G294" s="32">
        <v>0</v>
      </c>
      <c r="H294" s="37">
        <v>0</v>
      </c>
      <c r="I294" s="38">
        <f t="shared" si="9"/>
        <v>0</v>
      </c>
    </row>
    <row r="295" spans="1:9" ht="10.199999999999999" customHeight="1" x14ac:dyDescent="0.3">
      <c r="A295" s="32" t="str">
        <f>HYPERLINK("http://avail.sbinursery.com/LiveInventoryDetail.aspx?CustomerID=954&amp;intItemKey=700&amp;ProductID=THUPGGI07BB&amp;wWidth=700&amp;wHeight=510&amp;intHort=0&amp;imgProID=THUPGGI07BB&amp;strUserType=Live","Thuja x 'Green Giant'")</f>
        <v>Thuja x 'Green Giant'</v>
      </c>
      <c r="B295" s="32" t="s">
        <v>65</v>
      </c>
      <c r="C295" s="32"/>
      <c r="D295" s="33">
        <v>128</v>
      </c>
      <c r="E295" s="34"/>
      <c r="F295" s="35">
        <v>97</v>
      </c>
      <c r="G295" s="32">
        <v>0</v>
      </c>
      <c r="H295" s="37">
        <v>0</v>
      </c>
      <c r="I295" s="38">
        <f t="shared" si="9"/>
        <v>0</v>
      </c>
    </row>
    <row r="296" spans="1:9" ht="10.199999999999999" customHeight="1" x14ac:dyDescent="0.3">
      <c r="A296" s="32" t="str">
        <f>HYPERLINK("http://avail.sbinursery.com/LiveInventoryDetail.aspx?CustomerID=954&amp;intItemKey=700&amp;ProductID=THUPGGI08BB&amp;wWidth=700&amp;wHeight=510&amp;intHort=0&amp;imgProID=THUPGGI08BB&amp;strUserType=Live","Thuja x 'Green Giant'")</f>
        <v>Thuja x 'Green Giant'</v>
      </c>
      <c r="B296" s="32" t="s">
        <v>67</v>
      </c>
      <c r="C296" s="32"/>
      <c r="D296" s="33">
        <v>166</v>
      </c>
      <c r="E296" s="34"/>
      <c r="F296" s="35">
        <v>11</v>
      </c>
      <c r="G296" s="32">
        <v>0</v>
      </c>
      <c r="H296" s="37">
        <v>0</v>
      </c>
      <c r="I296" s="38">
        <f t="shared" si="9"/>
        <v>0</v>
      </c>
    </row>
    <row r="297" spans="1:9" ht="10.199999999999999" customHeight="1" x14ac:dyDescent="0.3">
      <c r="A297" s="32" t="str">
        <f>HYPERLINK("http://avail.sbinursery.com/LiveInventoryDetail.aspx?CustomerID=954&amp;intItemKey=700&amp;ProductID=THUPGGI10BB&amp;wWidth=700&amp;wHeight=510&amp;intHort=0&amp;imgProID=0&amp;strUserType=Live","Thuja x 'Green Giant'")</f>
        <v>Thuja x 'Green Giant'</v>
      </c>
      <c r="B297" s="32" t="s">
        <v>69</v>
      </c>
      <c r="C297" s="32"/>
      <c r="D297" s="33">
        <v>210</v>
      </c>
      <c r="E297" s="34"/>
      <c r="F297" s="35">
        <v>47</v>
      </c>
      <c r="G297" s="32">
        <v>0</v>
      </c>
      <c r="H297" s="37">
        <v>0</v>
      </c>
      <c r="I297" s="38">
        <f t="shared" ref="I297:I303" si="10">PRODUCT(D297,H297)</f>
        <v>0</v>
      </c>
    </row>
    <row r="298" spans="1:9" ht="10.199999999999999" customHeight="1" x14ac:dyDescent="0.3">
      <c r="A298" s="32" t="str">
        <f>HYPERLINK("http://avail.sbinursery.com/LiveInventoryDetail.aspx?CustomerID=954&amp;intItemKey=1807&amp;ProductID=THUPNOR07BB&amp;wWidth=700&amp;wHeight=510&amp;intHort=0&amp;imgProID=THUPNOR07BB&amp;strUserType=Live","Thuja plicata 'Northern Spire'")</f>
        <v>Thuja plicata 'Northern Spire'</v>
      </c>
      <c r="B298" s="32" t="s">
        <v>65</v>
      </c>
      <c r="C298" s="32"/>
      <c r="D298" s="33">
        <v>128</v>
      </c>
      <c r="E298" s="34"/>
      <c r="F298" s="35">
        <v>5</v>
      </c>
      <c r="G298" s="32">
        <v>0</v>
      </c>
      <c r="H298" s="37">
        <v>0</v>
      </c>
      <c r="I298" s="38">
        <f t="shared" si="10"/>
        <v>0</v>
      </c>
    </row>
    <row r="299" spans="1:9" ht="10.199999999999999" customHeight="1" x14ac:dyDescent="0.3">
      <c r="A299" s="32" t="str">
        <f>HYPERLINK("http://avail.sbinursery.com/LiveInventoryDetail.aspx?CustomerID=954&amp;intItemKey=1807&amp;ProductID=THUPNOR08BB&amp;wWidth=700&amp;wHeight=510&amp;intHort=0&amp;imgProID=THUPNOR08BB&amp;strUserType=Live","Thuja plicata 'Northern Spire'")</f>
        <v>Thuja plicata 'Northern Spire'</v>
      </c>
      <c r="B299" s="32" t="s">
        <v>67</v>
      </c>
      <c r="C299" s="32"/>
      <c r="D299" s="33">
        <v>166</v>
      </c>
      <c r="E299" s="34"/>
      <c r="F299" s="35">
        <v>1</v>
      </c>
      <c r="G299" s="32">
        <v>0</v>
      </c>
      <c r="H299" s="37">
        <v>0</v>
      </c>
      <c r="I299" s="38">
        <f t="shared" si="10"/>
        <v>0</v>
      </c>
    </row>
    <row r="300" spans="1:9" ht="10.199999999999999" customHeight="1" x14ac:dyDescent="0.3">
      <c r="A300" s="32" t="str">
        <f>HYPERLINK("http://avail.sbinursery.com/LiveInventoryDetail.aspx?CustomerID=954&amp;intItemKey=710&amp;ProductID=TSUCANA07BB&amp;wWidth=700&amp;wHeight=510&amp;intHort=0&amp;imgProID=TSUCANA07BB&amp;strUserType=Live","Tsuga canadensis")</f>
        <v>Tsuga canadensis</v>
      </c>
      <c r="B300" s="32" t="s">
        <v>65</v>
      </c>
      <c r="C300" s="32"/>
      <c r="D300" s="33">
        <v>220</v>
      </c>
      <c r="E300" s="34"/>
      <c r="F300" s="35">
        <v>1</v>
      </c>
      <c r="G300" s="32">
        <v>0</v>
      </c>
      <c r="H300" s="37">
        <v>0</v>
      </c>
      <c r="I300" s="38">
        <f t="shared" si="10"/>
        <v>0</v>
      </c>
    </row>
    <row r="301" spans="1:9" ht="10.199999999999999" customHeight="1" x14ac:dyDescent="0.3">
      <c r="A301" s="32" t="str">
        <f>HYPERLINK("http://avail.sbinursery.com/LiveInventoryDetail.aspx?CustomerID=954&amp;intItemKey=730&amp;ProductID=VIBCARL24BB&amp;wWidth=700&amp;wHeight=510&amp;intHort=0&amp;imgProID=VIBCARL24BB&amp;strUserType=Live","Viburnum carlesii")</f>
        <v>Viburnum carlesii</v>
      </c>
      <c r="B301" s="32" t="s">
        <v>53</v>
      </c>
      <c r="C301" s="32"/>
      <c r="D301" s="33">
        <v>41.5</v>
      </c>
      <c r="E301" s="34"/>
      <c r="F301" s="35">
        <v>1</v>
      </c>
      <c r="G301" s="32">
        <v>0</v>
      </c>
      <c r="H301" s="37">
        <v>0</v>
      </c>
      <c r="I301" s="38">
        <f t="shared" si="10"/>
        <v>0</v>
      </c>
    </row>
    <row r="302" spans="1:9" ht="10.199999999999999" customHeight="1" x14ac:dyDescent="0.3">
      <c r="A302" s="32" t="str">
        <f>HYPERLINK("http://avail.sbinursery.com/LiveInventoryDetail.aspx?CustomerID=954&amp;intItemKey=730&amp;ProductID=VIBCARL30BB&amp;wWidth=700&amp;wHeight=510&amp;intHort=0&amp;imgProID=VIBCARL30BB&amp;strUserType=Live","Viburnum carlesii")</f>
        <v>Viburnum carlesii</v>
      </c>
      <c r="B302" s="32" t="s">
        <v>58</v>
      </c>
      <c r="C302" s="32"/>
      <c r="D302" s="33">
        <v>52</v>
      </c>
      <c r="E302" s="34"/>
      <c r="F302" s="35">
        <v>1</v>
      </c>
      <c r="G302" s="32">
        <v>0</v>
      </c>
      <c r="H302" s="37">
        <v>0</v>
      </c>
      <c r="I302" s="38">
        <f t="shared" si="10"/>
        <v>0</v>
      </c>
    </row>
    <row r="303" spans="1:9" ht="10.199999999999999" customHeight="1" x14ac:dyDescent="0.3">
      <c r="A303" s="32" t="str">
        <f>HYPERLINK("http://avail.sbinursery.com/LiveInventoryDetail.aspx?CustomerID=954&amp;intItemKey=731&amp;ProductID=VIBDLUS30BB&amp;wWidth=700&amp;wHeight=510&amp;intHort=0&amp;imgProID=VIBDLUS30BB&amp;strUserType=Live","Viburnum dentatum 'Synnestvedt' Chicago Lustre®")</f>
        <v>Viburnum dentatum 'Synnestvedt' Chicago Lustre®</v>
      </c>
      <c r="B303" s="32" t="s">
        <v>58</v>
      </c>
      <c r="C303" s="32"/>
      <c r="D303" s="33">
        <v>37.5</v>
      </c>
      <c r="E303" s="34"/>
      <c r="F303" s="35">
        <v>1</v>
      </c>
      <c r="G303" s="32">
        <v>0</v>
      </c>
      <c r="H303" s="37">
        <v>0</v>
      </c>
      <c r="I303" s="38">
        <f t="shared" si="10"/>
        <v>0</v>
      </c>
    </row>
    <row r="304" spans="1:9" ht="18" x14ac:dyDescent="0.3">
      <c r="A304" s="26" t="s">
        <v>70</v>
      </c>
      <c r="B304" s="27"/>
      <c r="C304" s="28"/>
      <c r="D304" s="29"/>
      <c r="E304" s="28"/>
      <c r="F304" s="30"/>
      <c r="G304" s="30"/>
      <c r="H304" s="31"/>
    </row>
    <row r="305" spans="1:9" ht="10.199999999999999" customHeight="1" x14ac:dyDescent="0.3">
      <c r="A305" s="32" t="str">
        <f>HYPERLINK("http://avail.sbinursery.com/LiveInventoryDetail.aspx?CustomerID=954&amp;intItemKey=895&amp;ProductID=ACEBTRI17BB&amp;wWidth=700&amp;wHeight=510&amp;intHort=0&amp;imgProID=ACEBTRI17BB&amp;strUserType=Live","Acer buergeranum")</f>
        <v>Acer buergeranum</v>
      </c>
      <c r="B305" s="32" t="s">
        <v>42</v>
      </c>
      <c r="C305" s="32"/>
      <c r="D305" s="33">
        <v>185</v>
      </c>
      <c r="E305" s="34"/>
      <c r="F305" s="35">
        <v>1</v>
      </c>
      <c r="G305" s="32">
        <v>0</v>
      </c>
      <c r="H305" s="37">
        <v>0</v>
      </c>
      <c r="I305" s="38">
        <f t="shared" ref="I305:I326" si="11">PRODUCT(D305,H305)</f>
        <v>0</v>
      </c>
    </row>
    <row r="306" spans="1:9" ht="10.199999999999999" customHeight="1" x14ac:dyDescent="0.3">
      <c r="A306" s="32" t="str">
        <f>HYPERLINK("http://avail.sbinursery.com/LiveInventoryDetail.aspx?CustomerID=954&amp;intItemKey=895&amp;ProductID=ACEBTRI20BB&amp;wWidth=700&amp;wHeight=510&amp;intHort=0&amp;imgProID=ACEBTRI20BB&amp;strUserType=Live","Acer buergeranum")</f>
        <v>Acer buergeranum</v>
      </c>
      <c r="B306" s="32" t="s">
        <v>43</v>
      </c>
      <c r="C306" s="32"/>
      <c r="D306" s="33">
        <v>205</v>
      </c>
      <c r="E306" s="34"/>
      <c r="F306" s="35">
        <v>1</v>
      </c>
      <c r="G306" s="32">
        <v>0</v>
      </c>
      <c r="H306" s="37">
        <v>0</v>
      </c>
      <c r="I306" s="38">
        <f t="shared" si="11"/>
        <v>0</v>
      </c>
    </row>
    <row r="307" spans="1:9" ht="10.199999999999999" customHeight="1" x14ac:dyDescent="0.3">
      <c r="A307" s="32" t="str">
        <f>HYPERLINK("http://avail.sbinursery.com/LiveInventoryDetail.aspx?CustomerID=954&amp;intItemKey=862&amp;ProductID=ACECAMP12BB&amp;wWidth=700&amp;wHeight=510&amp;intHort=0&amp;imgProID=0&amp;strUserType=Live","Acer campestre")</f>
        <v>Acer campestre</v>
      </c>
      <c r="B307" s="32" t="s">
        <v>72</v>
      </c>
      <c r="C307" s="32"/>
      <c r="D307" s="33">
        <v>139</v>
      </c>
      <c r="E307" s="34"/>
      <c r="F307" s="35">
        <v>1</v>
      </c>
      <c r="G307" s="32">
        <v>0</v>
      </c>
      <c r="H307" s="37">
        <v>0</v>
      </c>
      <c r="I307" s="38">
        <f t="shared" si="11"/>
        <v>0</v>
      </c>
    </row>
    <row r="308" spans="1:9" ht="10.199999999999999" customHeight="1" x14ac:dyDescent="0.3">
      <c r="A308" s="32" t="str">
        <f>HYPERLINK("http://avail.sbinursery.com/LiveInventoryDetail.aspx?CustomerID=954&amp;intItemKey=862&amp;ProductID=ACECAMP15BB&amp;wWidth=700&amp;wHeight=510&amp;intHort=0&amp;imgProID=ACECAMP15BB&amp;strUserType=Live","Acer campestre")</f>
        <v>Acer campestre</v>
      </c>
      <c r="B308" s="32" t="s">
        <v>73</v>
      </c>
      <c r="C308" s="32"/>
      <c r="D308" s="33">
        <v>157</v>
      </c>
      <c r="E308" s="34"/>
      <c r="F308" s="35">
        <v>24</v>
      </c>
      <c r="G308" s="32">
        <v>0</v>
      </c>
      <c r="H308" s="37">
        <v>0</v>
      </c>
      <c r="I308" s="38">
        <f t="shared" si="11"/>
        <v>0</v>
      </c>
    </row>
    <row r="309" spans="1:9" ht="10.199999999999999" customHeight="1" x14ac:dyDescent="0.3">
      <c r="A309" s="32" t="str">
        <f>HYPERLINK("http://avail.sbinursery.com/LiveInventoryDetail.aspx?CustomerID=954&amp;intItemKey=862&amp;ProductID=ACECAMP17BB&amp;wWidth=700&amp;wHeight=510&amp;intHort=0&amp;imgProID=ACECAMP17BB&amp;strUserType=Live","Acer campestre")</f>
        <v>Acer campestre</v>
      </c>
      <c r="B309" s="32" t="s">
        <v>42</v>
      </c>
      <c r="C309" s="32"/>
      <c r="D309" s="33">
        <v>185</v>
      </c>
      <c r="E309" s="34"/>
      <c r="F309" s="35">
        <v>5</v>
      </c>
      <c r="G309" s="32">
        <v>0</v>
      </c>
      <c r="H309" s="37">
        <v>0</v>
      </c>
      <c r="I309" s="38">
        <f t="shared" si="11"/>
        <v>0</v>
      </c>
    </row>
    <row r="310" spans="1:9" ht="10.199999999999999" customHeight="1" x14ac:dyDescent="0.3">
      <c r="A310" s="32" t="str">
        <f>HYPERLINK("http://avail.sbinursery.com/LiveInventoryDetail.aspx?CustomerID=954&amp;intItemKey=862&amp;ProductID=ACECAMP20BB&amp;wWidth=700&amp;wHeight=510&amp;intHort=0&amp;imgProID=ACECAMP20BB&amp;strUserType=Live","Acer campestre")</f>
        <v>Acer campestre</v>
      </c>
      <c r="B310" s="32" t="s">
        <v>43</v>
      </c>
      <c r="C310" s="32"/>
      <c r="D310" s="33">
        <v>205</v>
      </c>
      <c r="E310" s="34"/>
      <c r="F310" s="35">
        <v>10</v>
      </c>
      <c r="G310" s="32">
        <v>0</v>
      </c>
      <c r="H310" s="37">
        <v>0</v>
      </c>
      <c r="I310" s="38">
        <f t="shared" si="11"/>
        <v>0</v>
      </c>
    </row>
    <row r="311" spans="1:9" ht="10.199999999999999" customHeight="1" x14ac:dyDescent="0.3">
      <c r="A311" s="32" t="str">
        <f>HYPERLINK("http://avail.sbinursery.com/LiveInventoryDetail.aspx?CustomerID=954&amp;intItemKey=862&amp;ProductID=ACECAMP25BB&amp;wWidth=700&amp;wHeight=510&amp;intHort=0&amp;imgProID=ACECAMP25BB&amp;strUserType=Live","Acer campestre")</f>
        <v>Acer campestre</v>
      </c>
      <c r="B311" s="32" t="s">
        <v>44</v>
      </c>
      <c r="C311" s="32"/>
      <c r="D311" s="33">
        <v>267</v>
      </c>
      <c r="E311" s="34"/>
      <c r="F311" s="35">
        <v>1</v>
      </c>
      <c r="G311" s="32">
        <v>0</v>
      </c>
      <c r="H311" s="37">
        <v>0</v>
      </c>
      <c r="I311" s="38">
        <f t="shared" si="11"/>
        <v>0</v>
      </c>
    </row>
    <row r="312" spans="1:9" ht="10.199999999999999" customHeight="1" x14ac:dyDescent="0.3">
      <c r="A312" s="32" t="str">
        <f>HYPERLINK("http://avail.sbinursery.com/LiveInventoryDetail.aspx?CustomerID=954&amp;intItemKey=59&amp;ProductID=ACEFARM12BB&amp;wWidth=700&amp;wHeight=510&amp;intHort=0&amp;imgProID=0&amp;strUserType=Live","Acer x 'Armstrong'")</f>
        <v>Acer x 'Armstrong'</v>
      </c>
      <c r="B312" s="32" t="s">
        <v>72</v>
      </c>
      <c r="C312" s="32"/>
      <c r="D312" s="33">
        <v>132</v>
      </c>
      <c r="E312" s="34"/>
      <c r="F312" s="35">
        <v>2</v>
      </c>
      <c r="G312" s="32">
        <v>0</v>
      </c>
      <c r="H312" s="37">
        <v>0</v>
      </c>
      <c r="I312" s="38">
        <f t="shared" si="11"/>
        <v>0</v>
      </c>
    </row>
    <row r="313" spans="1:9" ht="10.199999999999999" customHeight="1" x14ac:dyDescent="0.3">
      <c r="A313" s="32" t="str">
        <f>HYPERLINK("http://avail.sbinursery.com/LiveInventoryDetail.aspx?CustomerID=954&amp;intItemKey=59&amp;ProductID=ACEFARM30BB&amp;wWidth=700&amp;wHeight=510&amp;intHort=0&amp;imgProID=ACEFARM30BB&amp;strUserType=Live","Acer x 'Armstrong'")</f>
        <v>Acer x 'Armstrong'</v>
      </c>
      <c r="B313" s="32" t="s">
        <v>75</v>
      </c>
      <c r="C313" s="32"/>
      <c r="D313" s="33">
        <v>292</v>
      </c>
      <c r="E313" s="34"/>
      <c r="F313" s="35">
        <v>8</v>
      </c>
      <c r="G313" s="32">
        <v>0</v>
      </c>
      <c r="H313" s="37">
        <v>0</v>
      </c>
      <c r="I313" s="38">
        <f t="shared" si="11"/>
        <v>0</v>
      </c>
    </row>
    <row r="314" spans="1:9" ht="10.199999999999999" customHeight="1" x14ac:dyDescent="0.3">
      <c r="A314" s="32" t="str">
        <f>HYPERLINK("http://avail.sbinursery.com/LiveInventoryDetail.aspx?CustomerID=954&amp;intItemKey=59&amp;ProductID=ACEFARM35BB&amp;wWidth=700&amp;wHeight=510&amp;intHort=0&amp;imgProID=0&amp;strUserType=Live","Acer x 'Armstrong'")</f>
        <v>Acer x 'Armstrong'</v>
      </c>
      <c r="B314" s="32" t="s">
        <v>76</v>
      </c>
      <c r="C314" s="32"/>
      <c r="D314" s="33">
        <v>336</v>
      </c>
      <c r="E314" s="34"/>
      <c r="F314" s="35">
        <v>1</v>
      </c>
      <c r="G314" s="32">
        <v>0</v>
      </c>
      <c r="H314" s="37">
        <v>0</v>
      </c>
      <c r="I314" s="38">
        <f t="shared" si="11"/>
        <v>0</v>
      </c>
    </row>
    <row r="315" spans="1:9" ht="10.199999999999999" customHeight="1" x14ac:dyDescent="0.3">
      <c r="A315" s="32" t="str">
        <f>HYPERLINK("http://avail.sbinursery.com/LiveInventoryDetail.aspx?CustomerID=954&amp;intItemKey=61&amp;ProductID=ACEFBLA12BB&amp;wWidth=700&amp;wHeight=510&amp;intHort=0&amp;imgProID=0&amp;strUserType=Live","Acer x 'Jeffersred' Autumn Blaze®")</f>
        <v>Acer x 'Jeffersred' Autumn Blaze®</v>
      </c>
      <c r="B315" s="32" t="s">
        <v>72</v>
      </c>
      <c r="C315" s="32"/>
      <c r="D315" s="33">
        <v>125</v>
      </c>
      <c r="E315" s="34"/>
      <c r="F315" s="35">
        <v>1</v>
      </c>
      <c r="G315" s="32">
        <v>0</v>
      </c>
      <c r="H315" s="37">
        <v>0</v>
      </c>
      <c r="I315" s="38">
        <f t="shared" si="11"/>
        <v>0</v>
      </c>
    </row>
    <row r="316" spans="1:9" ht="10.199999999999999" customHeight="1" x14ac:dyDescent="0.3">
      <c r="A316" s="32" t="str">
        <f>HYPERLINK("http://avail.sbinursery.com/LiveInventoryDetail.aspx?CustomerID=954&amp;intItemKey=61&amp;ProductID=ACEFBLA25BB&amp;wWidth=700&amp;wHeight=510&amp;intHort=0&amp;imgProID=ACEFBLA25BB&amp;strUserType=Live","Acer x 'Jeffersred' Autumn Blaze®")</f>
        <v>Acer x 'Jeffersred' Autumn Blaze®</v>
      </c>
      <c r="B316" s="32" t="s">
        <v>44</v>
      </c>
      <c r="C316" s="32"/>
      <c r="D316" s="33">
        <v>241</v>
      </c>
      <c r="E316" s="34"/>
      <c r="F316" s="35">
        <v>5</v>
      </c>
      <c r="G316" s="32">
        <v>0</v>
      </c>
      <c r="H316" s="37">
        <v>0</v>
      </c>
      <c r="I316" s="38">
        <f t="shared" si="11"/>
        <v>0</v>
      </c>
    </row>
    <row r="317" spans="1:9" ht="10.199999999999999" customHeight="1" x14ac:dyDescent="0.3">
      <c r="A317" s="32" t="str">
        <f>HYPERLINK("http://avail.sbinursery.com/LiveInventoryDetail.aspx?CustomerID=954&amp;intItemKey=61&amp;ProductID=ACEFBLA30BB&amp;wWidth=700&amp;wHeight=510&amp;intHort=0&amp;imgProID=ACEFBLA30BB&amp;strUserType=Live","Acer x 'Jeffersred' Autumn Blaze®")</f>
        <v>Acer x 'Jeffersred' Autumn Blaze®</v>
      </c>
      <c r="B317" s="32" t="s">
        <v>75</v>
      </c>
      <c r="C317" s="32"/>
      <c r="D317" s="33">
        <v>277</v>
      </c>
      <c r="E317" s="34"/>
      <c r="F317" s="35">
        <v>2</v>
      </c>
      <c r="G317" s="32">
        <v>0</v>
      </c>
      <c r="H317" s="37">
        <v>0</v>
      </c>
      <c r="I317" s="38">
        <f t="shared" si="11"/>
        <v>0</v>
      </c>
    </row>
    <row r="318" spans="1:9" ht="10.199999999999999" customHeight="1" x14ac:dyDescent="0.3">
      <c r="A318" s="32" t="str">
        <f>HYPERLINK("http://avail.sbinursery.com/LiveInventoryDetail.aspx?CustomerID=954&amp;intItemKey=60&amp;ProductID=ACEFCEL12BB&amp;wWidth=700&amp;wHeight=510&amp;intHort=0&amp;imgProID=0&amp;strUserType=Live","Acer x 'Celzam' Celebration®")</f>
        <v>Acer x 'Celzam' Celebration®</v>
      </c>
      <c r="B318" s="32" t="s">
        <v>72</v>
      </c>
      <c r="C318" s="32"/>
      <c r="D318" s="33">
        <v>125</v>
      </c>
      <c r="E318" s="34"/>
      <c r="F318" s="35">
        <v>9</v>
      </c>
      <c r="G318" s="32">
        <v>0</v>
      </c>
      <c r="H318" s="37">
        <v>0</v>
      </c>
      <c r="I318" s="38">
        <f t="shared" si="11"/>
        <v>0</v>
      </c>
    </row>
    <row r="319" spans="1:9" ht="10.199999999999999" customHeight="1" x14ac:dyDescent="0.3">
      <c r="A319" s="32" t="str">
        <f>HYPERLINK("http://avail.sbinursery.com/LiveInventoryDetail.aspx?CustomerID=954&amp;intItemKey=60&amp;ProductID=ACEFCEL25BB&amp;wWidth=700&amp;wHeight=510&amp;intHort=0&amp;imgProID=ACEFCEL25BB&amp;strUserType=Live","Acer x 'Celzam' Celebration®")</f>
        <v>Acer x 'Celzam' Celebration®</v>
      </c>
      <c r="B319" s="32" t="s">
        <v>44</v>
      </c>
      <c r="C319" s="32"/>
      <c r="D319" s="33">
        <v>241</v>
      </c>
      <c r="E319" s="34"/>
      <c r="F319" s="35">
        <v>2</v>
      </c>
      <c r="G319" s="32">
        <v>0</v>
      </c>
      <c r="H319" s="37">
        <v>0</v>
      </c>
      <c r="I319" s="38">
        <f t="shared" si="11"/>
        <v>0</v>
      </c>
    </row>
    <row r="320" spans="1:9" ht="10.199999999999999" customHeight="1" x14ac:dyDescent="0.3">
      <c r="A320" s="32" t="str">
        <f>HYPERLINK("http://avail.sbinursery.com/LiveInventoryDetail.aspx?CustomerID=954&amp;intItemKey=15&amp;ProductID=ACEGHAR17BB&amp;wWidth=700&amp;wHeight=510&amp;intHort=0&amp;imgProID=ACEGHAR17BB&amp;strUserType=Live","Acer g. 'Hipazam' Highland Park®")</f>
        <v>Acer g. 'Hipazam' Highland Park®</v>
      </c>
      <c r="B320" s="32" t="s">
        <v>42</v>
      </c>
      <c r="C320" s="32"/>
      <c r="D320" s="33">
        <v>187</v>
      </c>
      <c r="E320" s="34"/>
      <c r="F320" s="35">
        <v>1</v>
      </c>
      <c r="G320" s="32">
        <v>0</v>
      </c>
      <c r="H320" s="37">
        <v>0</v>
      </c>
      <c r="I320" s="38">
        <f t="shared" si="11"/>
        <v>0</v>
      </c>
    </row>
    <row r="321" spans="1:9" ht="10.199999999999999" customHeight="1" x14ac:dyDescent="0.3">
      <c r="A321" s="32" t="str">
        <f>HYPERLINK("http://avail.sbinursery.com/LiveInventoryDetail.aspx?CustomerID=954&amp;intItemKey=15&amp;ProductID=ACEGHAR20BB&amp;wWidth=700&amp;wHeight=510&amp;intHort=0&amp;imgProID=ACEGHAR20BB&amp;strUserType=Live","Acer g. 'Hipazam' Highland Park®")</f>
        <v>Acer g. 'Hipazam' Highland Park®</v>
      </c>
      <c r="B321" s="32" t="s">
        <v>43</v>
      </c>
      <c r="C321" s="32"/>
      <c r="D321" s="33">
        <v>207</v>
      </c>
      <c r="E321" s="34"/>
      <c r="F321" s="35">
        <v>1</v>
      </c>
      <c r="G321" s="32">
        <v>0</v>
      </c>
      <c r="H321" s="37">
        <v>0</v>
      </c>
      <c r="I321" s="38">
        <f t="shared" si="11"/>
        <v>0</v>
      </c>
    </row>
    <row r="322" spans="1:9" ht="10.199999999999999" customHeight="1" x14ac:dyDescent="0.3">
      <c r="A322" s="32" t="str">
        <f>HYPERLINK("http://avail.sbinursery.com/LiveInventoryDetail.aspx?CustomerID=954&amp;intItemKey=796&amp;ProductID=ACEGRIS12BB&amp;wWidth=700&amp;wHeight=510&amp;intHort=0&amp;imgProID=ACEGRIS12BB&amp;strUserType=Live","Acer griseum")</f>
        <v>Acer griseum</v>
      </c>
      <c r="B322" s="32" t="s">
        <v>72</v>
      </c>
      <c r="C322" s="32"/>
      <c r="D322" s="33">
        <v>161</v>
      </c>
      <c r="E322" s="34"/>
      <c r="F322" s="35">
        <v>11</v>
      </c>
      <c r="G322" s="32">
        <v>0</v>
      </c>
      <c r="H322" s="37">
        <v>0</v>
      </c>
      <c r="I322" s="38">
        <f t="shared" si="11"/>
        <v>0</v>
      </c>
    </row>
    <row r="323" spans="1:9" ht="10.199999999999999" customHeight="1" x14ac:dyDescent="0.3">
      <c r="A323" s="32" t="str">
        <f>HYPERLINK("http://avail.sbinursery.com/LiveInventoryDetail.aspx?CustomerID=954&amp;intItemKey=796&amp;ProductID=ACEGRIS15BB&amp;wWidth=700&amp;wHeight=510&amp;intHort=0&amp;imgProID=ACEGRIS15BB&amp;strUserType=Live","Acer griseum")</f>
        <v>Acer griseum</v>
      </c>
      <c r="B323" s="32" t="s">
        <v>73</v>
      </c>
      <c r="C323" s="32"/>
      <c r="D323" s="33">
        <v>183</v>
      </c>
      <c r="E323" s="34"/>
      <c r="F323" s="35">
        <v>8</v>
      </c>
      <c r="G323" s="32">
        <v>0</v>
      </c>
      <c r="H323" s="37">
        <v>0</v>
      </c>
      <c r="I323" s="38">
        <f t="shared" si="11"/>
        <v>0</v>
      </c>
    </row>
    <row r="324" spans="1:9" ht="10.199999999999999" customHeight="1" x14ac:dyDescent="0.3">
      <c r="A324" s="32" t="str">
        <f>HYPERLINK("http://avail.sbinursery.com/LiveInventoryDetail.aspx?CustomerID=954&amp;intItemKey=1975&amp;ProductID=ACEGRUB15BB&amp;wWidth=700&amp;wHeight=510&amp;intHort=0&amp;imgProID=0&amp;strUserType=Live","Acer ginnala 'Ruby Slippers'")</f>
        <v>Acer ginnala 'Ruby Slippers'</v>
      </c>
      <c r="B324" s="32" t="s">
        <v>73</v>
      </c>
      <c r="C324" s="32"/>
      <c r="D324" s="33">
        <v>165</v>
      </c>
      <c r="E324" s="34"/>
      <c r="F324" s="35">
        <v>20</v>
      </c>
      <c r="G324" s="32">
        <v>0</v>
      </c>
      <c r="H324" s="37">
        <v>0</v>
      </c>
      <c r="I324" s="38">
        <f t="shared" si="11"/>
        <v>0</v>
      </c>
    </row>
    <row r="325" spans="1:9" ht="10.199999999999999" customHeight="1" x14ac:dyDescent="0.3">
      <c r="A325" s="32" t="str">
        <f>HYPERLINK("http://avail.sbinursery.com/LiveInventoryDetail.aspx?CustomerID=954&amp;intItemKey=1975&amp;ProductID=ACEGRUB17BB&amp;wWidth=700&amp;wHeight=510&amp;intHort=0&amp;imgProID=0&amp;strUserType=Live","Acer ginnala 'Ruby Slippers'")</f>
        <v>Acer ginnala 'Ruby Slippers'</v>
      </c>
      <c r="B325" s="32" t="s">
        <v>42</v>
      </c>
      <c r="C325" s="32"/>
      <c r="D325" s="33">
        <v>194</v>
      </c>
      <c r="E325" s="34"/>
      <c r="F325" s="35">
        <v>2</v>
      </c>
      <c r="G325" s="32">
        <v>0</v>
      </c>
      <c r="H325" s="37">
        <v>0</v>
      </c>
      <c r="I325" s="38">
        <f t="shared" si="11"/>
        <v>0</v>
      </c>
    </row>
    <row r="326" spans="1:9" ht="10.199999999999999" customHeight="1" x14ac:dyDescent="0.3">
      <c r="A326" s="32" t="str">
        <f>HYPERLINK("http://avail.sbinursery.com/LiveInventoryDetail.aspx?CustomerID=954&amp;intItemKey=1729&amp;ProductID=ACEMMOR12BB&amp;wWidth=700&amp;wHeight=510&amp;intHort=0&amp;imgProID=0&amp;strUserType=Live","Acer miyabei 'Morton' State Street®")</f>
        <v>Acer miyabei 'Morton' State Street®</v>
      </c>
      <c r="B326" s="32" t="s">
        <v>72</v>
      </c>
      <c r="C326" s="32"/>
      <c r="D326" s="33">
        <v>143</v>
      </c>
      <c r="E326" s="34"/>
      <c r="F326" s="35">
        <v>3</v>
      </c>
      <c r="G326" s="32">
        <v>0</v>
      </c>
      <c r="H326" s="37">
        <v>0</v>
      </c>
      <c r="I326" s="38">
        <f t="shared" si="11"/>
        <v>0</v>
      </c>
    </row>
    <row r="327" spans="1:9" ht="10.199999999999999" customHeight="1" x14ac:dyDescent="0.3">
      <c r="A327" s="32" t="str">
        <f>HYPERLINK("http://avail.sbinursery.com/LiveInventoryDetail.aspx?CustomerID=954&amp;intItemKey=1729&amp;ProductID=ACEMMOR15BB&amp;wWidth=700&amp;wHeight=510&amp;intHort=0&amp;imgProID=ACEMMOR15BB&amp;strUserType=Live","Acer miyabei 'Morton' State Street®")</f>
        <v>Acer miyabei 'Morton' State Street®</v>
      </c>
      <c r="B327" s="32" t="s">
        <v>73</v>
      </c>
      <c r="C327" s="32"/>
      <c r="D327" s="33">
        <v>162</v>
      </c>
      <c r="E327" s="34"/>
      <c r="F327" s="35">
        <v>22</v>
      </c>
      <c r="G327" s="32">
        <v>0</v>
      </c>
      <c r="H327" s="37">
        <v>0</v>
      </c>
      <c r="I327" s="38">
        <f t="shared" ref="I327:I366" si="12">PRODUCT(D327,H327)</f>
        <v>0</v>
      </c>
    </row>
    <row r="328" spans="1:9" ht="10.199999999999999" customHeight="1" x14ac:dyDescent="0.3">
      <c r="A328" s="32" t="str">
        <f>HYPERLINK("http://avail.sbinursery.com/LiveInventoryDetail.aspx?CustomerID=954&amp;intItemKey=1729&amp;ProductID=ACEMMOR17BB&amp;wWidth=700&amp;wHeight=510&amp;intHort=0&amp;imgProID=ACEMMOR17BB&amp;strUserType=Live","Acer miyabei 'Morton' State Street®")</f>
        <v>Acer miyabei 'Morton' State Street®</v>
      </c>
      <c r="B328" s="32" t="s">
        <v>42</v>
      </c>
      <c r="C328" s="32"/>
      <c r="D328" s="33">
        <v>190</v>
      </c>
      <c r="E328" s="34"/>
      <c r="F328" s="35">
        <v>36</v>
      </c>
      <c r="G328" s="32">
        <v>0</v>
      </c>
      <c r="H328" s="37">
        <v>0</v>
      </c>
      <c r="I328" s="38">
        <f t="shared" si="12"/>
        <v>0</v>
      </c>
    </row>
    <row r="329" spans="1:9" ht="10.199999999999999" customHeight="1" x14ac:dyDescent="0.3">
      <c r="A329" s="32" t="str">
        <f>HYPERLINK("http://avail.sbinursery.com/LiveInventoryDetail.aspx?CustomerID=954&amp;intItemKey=1729&amp;ProductID=ACEMMOR20BB&amp;wWidth=700&amp;wHeight=510&amp;intHort=0&amp;imgProID=ACEMMOR20BB&amp;strUserType=Live","Acer miyabei 'Morton' State Street®")</f>
        <v>Acer miyabei 'Morton' State Street®</v>
      </c>
      <c r="B329" s="32" t="s">
        <v>43</v>
      </c>
      <c r="C329" s="32"/>
      <c r="D329" s="33">
        <v>211</v>
      </c>
      <c r="E329" s="34"/>
      <c r="F329" s="35">
        <v>7</v>
      </c>
      <c r="G329" s="32">
        <v>0</v>
      </c>
      <c r="H329" s="37">
        <v>0</v>
      </c>
      <c r="I329" s="38">
        <f t="shared" si="12"/>
        <v>0</v>
      </c>
    </row>
    <row r="330" spans="1:9" ht="10.199999999999999" customHeight="1" x14ac:dyDescent="0.3">
      <c r="A330" s="32" t="str">
        <f>HYPERLINK("http://avail.sbinursery.com/LiveInventoryDetail.aspx?CustomerID=954&amp;intItemKey=1861&amp;ProductID=ACERARM15BB&amp;wWidth=700&amp;wHeight=510&amp;intHort=0&amp;imgProID=0&amp;strUserType=Live","Acer rubrum 'JFS-KW78' PP25301 Armstrong Gold ® Maple")</f>
        <v>Acer rubrum 'JFS-KW78' PP25301 Armstrong Gold ® Maple</v>
      </c>
      <c r="B330" s="32" t="s">
        <v>73</v>
      </c>
      <c r="C330" s="32"/>
      <c r="D330" s="33">
        <v>154</v>
      </c>
      <c r="E330" s="34"/>
      <c r="F330" s="35">
        <v>56</v>
      </c>
      <c r="G330" s="32">
        <v>0</v>
      </c>
      <c r="H330" s="37">
        <v>0</v>
      </c>
      <c r="I330" s="38">
        <f t="shared" si="12"/>
        <v>0</v>
      </c>
    </row>
    <row r="331" spans="1:9" ht="10.199999999999999" customHeight="1" x14ac:dyDescent="0.3">
      <c r="A331" s="32" t="str">
        <f>HYPERLINK("http://avail.sbinursery.com/LiveInventoryDetail.aspx?CustomerID=954&amp;intItemKey=1861&amp;ProductID=ACERARM17BB&amp;wWidth=700&amp;wHeight=510&amp;intHort=0&amp;imgProID=ACERARM17BB&amp;strUserType=Live","Acer rubrum 'JFS-KW78' PP25301 Armstrong Gold ® Maple")</f>
        <v>Acer rubrum 'JFS-KW78' PP25301 Armstrong Gold ® Maple</v>
      </c>
      <c r="B331" s="32" t="s">
        <v>42</v>
      </c>
      <c r="C331" s="32"/>
      <c r="D331" s="33">
        <v>181</v>
      </c>
      <c r="E331" s="34"/>
      <c r="F331" s="35">
        <v>23</v>
      </c>
      <c r="G331" s="32">
        <v>0</v>
      </c>
      <c r="H331" s="37">
        <v>0</v>
      </c>
      <c r="I331" s="38">
        <f t="shared" si="12"/>
        <v>0</v>
      </c>
    </row>
    <row r="332" spans="1:9" ht="10.199999999999999" customHeight="1" x14ac:dyDescent="0.3">
      <c r="A332" s="32" t="str">
        <f>HYPERLINK("http://avail.sbinursery.com/LiveInventoryDetail.aspx?CustomerID=954&amp;intItemKey=1861&amp;ProductID=ACERARM20BB&amp;wWidth=700&amp;wHeight=510&amp;intHort=0&amp;imgProID=ACERARM20BB&amp;strUserType=Live","Acer rubrum 'JFS-KW78' PP25301 Armstrong Gold ® Maple")</f>
        <v>Acer rubrum 'JFS-KW78' PP25301 Armstrong Gold ® Maple</v>
      </c>
      <c r="B332" s="32" t="s">
        <v>43</v>
      </c>
      <c r="C332" s="32"/>
      <c r="D332" s="33">
        <v>201</v>
      </c>
      <c r="E332" s="34"/>
      <c r="F332" s="35">
        <v>4</v>
      </c>
      <c r="G332" s="32">
        <v>0</v>
      </c>
      <c r="H332" s="37">
        <v>0</v>
      </c>
      <c r="I332" s="38">
        <f t="shared" si="12"/>
        <v>0</v>
      </c>
    </row>
    <row r="333" spans="1:9" ht="10.199999999999999" customHeight="1" x14ac:dyDescent="0.3">
      <c r="A333" s="32" t="str">
        <f>HYPERLINK("http://avail.sbinursery.com/LiveInventoryDetail.aspx?CustomerID=954&amp;intItemKey=1861&amp;ProductID=ACERARM25BB&amp;wWidth=700&amp;wHeight=510&amp;intHort=0&amp;imgProID=ACERARM25BB&amp;strUserType=Live","Acer rubrum 'JFS-KW78' PP25301 Armstrong Gold ® Maple")</f>
        <v>Acer rubrum 'JFS-KW78' PP25301 Armstrong Gold ® Maple</v>
      </c>
      <c r="B333" s="32" t="s">
        <v>44</v>
      </c>
      <c r="C333" s="32"/>
      <c r="D333" s="33">
        <v>262</v>
      </c>
      <c r="E333" s="34"/>
      <c r="F333" s="35">
        <v>12</v>
      </c>
      <c r="G333" s="32">
        <v>0</v>
      </c>
      <c r="H333" s="37">
        <v>0</v>
      </c>
      <c r="I333" s="38">
        <f t="shared" si="12"/>
        <v>0</v>
      </c>
    </row>
    <row r="334" spans="1:9" ht="10.199999999999999" customHeight="1" x14ac:dyDescent="0.3">
      <c r="A334" s="32" t="str">
        <f>HYPERLINK("http://avail.sbinursery.com/LiveInventoryDetail.aspx?CustomerID=954&amp;intItemKey=1861&amp;ProductID=ACERARM30BB&amp;wWidth=700&amp;wHeight=510&amp;intHort=0&amp;imgProID=0&amp;strUserType=Live","Acer rubrum 'JFS-KW78' PP25301 Armstrong Gold ® Maple")</f>
        <v>Acer rubrum 'JFS-KW78' PP25301 Armstrong Gold ® Maple</v>
      </c>
      <c r="B334" s="32" t="s">
        <v>75</v>
      </c>
      <c r="C334" s="32"/>
      <c r="D334" s="33">
        <v>301</v>
      </c>
      <c r="E334" s="34"/>
      <c r="F334" s="35">
        <v>2</v>
      </c>
      <c r="G334" s="32">
        <v>0</v>
      </c>
      <c r="H334" s="37">
        <v>0</v>
      </c>
      <c r="I334" s="38">
        <f t="shared" si="12"/>
        <v>0</v>
      </c>
    </row>
    <row r="335" spans="1:9" ht="10.199999999999999" customHeight="1" x14ac:dyDescent="0.3">
      <c r="A335" s="32" t="str">
        <f>HYPERLINK("http://avail.sbinursery.com/LiveInventoryDetail.aspx?CustomerID=954&amp;intItemKey=869&amp;ProductID=ACERBRA12BB&amp;wWidth=700&amp;wHeight=510&amp;intHort=0&amp;imgProID=0&amp;strUserType=Live","Acer rubrum 'Brandywine'")</f>
        <v>Acer rubrum 'Brandywine'</v>
      </c>
      <c r="B335" s="32" t="s">
        <v>72</v>
      </c>
      <c r="C335" s="32"/>
      <c r="D335" s="33">
        <v>126</v>
      </c>
      <c r="E335" s="34"/>
      <c r="F335" s="35">
        <v>26</v>
      </c>
      <c r="G335" s="32">
        <v>0</v>
      </c>
      <c r="H335" s="37">
        <v>0</v>
      </c>
      <c r="I335" s="38">
        <f t="shared" si="12"/>
        <v>0</v>
      </c>
    </row>
    <row r="336" spans="1:9" ht="10.199999999999999" customHeight="1" x14ac:dyDescent="0.3">
      <c r="A336" s="32" t="str">
        <f>HYPERLINK("http://avail.sbinursery.com/LiveInventoryDetail.aspx?CustomerID=954&amp;intItemKey=869&amp;ProductID=ACERBRA15BB&amp;wWidth=700&amp;wHeight=510&amp;intHort=0&amp;imgProID=ACERBRA15BB&amp;strUserType=Live","Acer rubrum 'Brandywine'")</f>
        <v>Acer rubrum 'Brandywine'</v>
      </c>
      <c r="B336" s="32" t="s">
        <v>73</v>
      </c>
      <c r="C336" s="32"/>
      <c r="D336" s="33">
        <v>144</v>
      </c>
      <c r="E336" s="34"/>
      <c r="F336" s="35">
        <v>96</v>
      </c>
      <c r="G336" s="32">
        <v>0</v>
      </c>
      <c r="H336" s="37">
        <v>0</v>
      </c>
      <c r="I336" s="38">
        <f t="shared" si="12"/>
        <v>0</v>
      </c>
    </row>
    <row r="337" spans="1:9" ht="10.199999999999999" customHeight="1" x14ac:dyDescent="0.3">
      <c r="A337" s="32" t="str">
        <f>HYPERLINK("http://avail.sbinursery.com/LiveInventoryDetail.aspx?CustomerID=954&amp;intItemKey=869&amp;ProductID=ACERBRA17BB&amp;wWidth=700&amp;wHeight=510&amp;intHort=0&amp;imgProID=ACERBRA17BB&amp;strUserType=Live","Acer rubrum 'Brandywine'")</f>
        <v>Acer rubrum 'Brandywine'</v>
      </c>
      <c r="B337" s="32" t="s">
        <v>42</v>
      </c>
      <c r="C337" s="32"/>
      <c r="D337" s="33">
        <v>169</v>
      </c>
      <c r="E337" s="34"/>
      <c r="F337" s="35">
        <v>6</v>
      </c>
      <c r="G337" s="32">
        <v>0</v>
      </c>
      <c r="H337" s="37">
        <v>0</v>
      </c>
      <c r="I337" s="38">
        <f t="shared" si="12"/>
        <v>0</v>
      </c>
    </row>
    <row r="338" spans="1:9" ht="10.199999999999999" customHeight="1" x14ac:dyDescent="0.3">
      <c r="A338" s="32" t="str">
        <f>HYPERLINK("http://avail.sbinursery.com/LiveInventoryDetail.aspx?CustomerID=954&amp;intItemKey=869&amp;ProductID=ACERBRA20BB&amp;wWidth=700&amp;wHeight=510&amp;intHort=0&amp;imgProID=ACERBRA20BB&amp;strUserType=Live","Acer rubrum 'Brandywine'")</f>
        <v>Acer rubrum 'Brandywine'</v>
      </c>
      <c r="B338" s="32" t="s">
        <v>43</v>
      </c>
      <c r="C338" s="32"/>
      <c r="D338" s="33">
        <v>187</v>
      </c>
      <c r="E338" s="34"/>
      <c r="F338" s="35">
        <v>1</v>
      </c>
      <c r="G338" s="32">
        <v>0</v>
      </c>
      <c r="H338" s="37">
        <v>0</v>
      </c>
      <c r="I338" s="38">
        <f t="shared" si="12"/>
        <v>0</v>
      </c>
    </row>
    <row r="339" spans="1:9" ht="10.199999999999999" customHeight="1" x14ac:dyDescent="0.3">
      <c r="A339" s="32" t="str">
        <f>HYPERLINK("http://avail.sbinursery.com/LiveInventoryDetail.aspx?CustomerID=954&amp;intItemKey=869&amp;ProductID=ACERBRA25BB&amp;wWidth=700&amp;wHeight=510&amp;intHort=0&amp;imgProID=ACERBRA25BB&amp;strUserType=Live","Acer rubrum 'Brandywine'")</f>
        <v>Acer rubrum 'Brandywine'</v>
      </c>
      <c r="B339" s="32" t="s">
        <v>44</v>
      </c>
      <c r="C339" s="32"/>
      <c r="D339" s="33">
        <v>244</v>
      </c>
      <c r="E339" s="34"/>
      <c r="F339" s="35">
        <v>1</v>
      </c>
      <c r="G339" s="32">
        <v>0</v>
      </c>
      <c r="H339" s="37">
        <v>0</v>
      </c>
      <c r="I339" s="38">
        <f t="shared" si="12"/>
        <v>0</v>
      </c>
    </row>
    <row r="340" spans="1:9" ht="10.199999999999999" customHeight="1" x14ac:dyDescent="0.3">
      <c r="A340" s="32" t="str">
        <f>HYPERLINK("http://avail.sbinursery.com/LiveInventoryDetail.aspx?CustomerID=954&amp;intItemKey=1263&amp;ProductID=ACERPOI12BB&amp;wWidth=700&amp;wHeight=510&amp;intHort=0&amp;imgProID=0&amp;strUserType=Live","Acer rubrum 'Frank Jr.' PP16769 Redpointe® Maple")</f>
        <v>Acer rubrum 'Frank Jr.' PP16769 Redpointe® Maple</v>
      </c>
      <c r="B340" s="32" t="s">
        <v>72</v>
      </c>
      <c r="C340" s="32"/>
      <c r="D340" s="33">
        <v>129</v>
      </c>
      <c r="E340" s="34"/>
      <c r="F340" s="35">
        <v>9</v>
      </c>
      <c r="G340" s="32">
        <v>0</v>
      </c>
      <c r="H340" s="37">
        <v>0</v>
      </c>
      <c r="I340" s="38">
        <f t="shared" si="12"/>
        <v>0</v>
      </c>
    </row>
    <row r="341" spans="1:9" ht="10.199999999999999" customHeight="1" x14ac:dyDescent="0.3">
      <c r="A341" s="32" t="str">
        <f>HYPERLINK("http://avail.sbinursery.com/LiveInventoryDetail.aspx?CustomerID=954&amp;intItemKey=1263&amp;ProductID=ACERPOI15BB&amp;wWidth=700&amp;wHeight=510&amp;intHort=0&amp;imgProID=0&amp;strUserType=Live","Acer rubrum 'Frank Jr.' PP16769 Redpointe® Maple")</f>
        <v>Acer rubrum 'Frank Jr.' PP16769 Redpointe® Maple</v>
      </c>
      <c r="B341" s="32" t="s">
        <v>73</v>
      </c>
      <c r="C341" s="32"/>
      <c r="D341" s="33">
        <v>144</v>
      </c>
      <c r="E341" s="34"/>
      <c r="F341" s="35">
        <v>43</v>
      </c>
      <c r="G341" s="32">
        <v>0</v>
      </c>
      <c r="H341" s="37">
        <v>0</v>
      </c>
      <c r="I341" s="38">
        <f t="shared" si="12"/>
        <v>0</v>
      </c>
    </row>
    <row r="342" spans="1:9" ht="10.199999999999999" customHeight="1" x14ac:dyDescent="0.3">
      <c r="A342" s="32" t="str">
        <f>HYPERLINK("http://avail.sbinursery.com/LiveInventoryDetail.aspx?CustomerID=954&amp;intItemKey=1263&amp;ProductID=ACERPOI17BB&amp;wWidth=700&amp;wHeight=510&amp;intHort=0&amp;imgProID=ACERPOI17BB&amp;strUserType=Live","Acer rubrum 'Frank Jr.' PP16769 Redpointe® Maple")</f>
        <v>Acer rubrum 'Frank Jr.' PP16769 Redpointe® Maple</v>
      </c>
      <c r="B342" s="32" t="s">
        <v>42</v>
      </c>
      <c r="C342" s="32"/>
      <c r="D342" s="33">
        <v>144</v>
      </c>
      <c r="E342" s="34"/>
      <c r="F342" s="35">
        <v>1</v>
      </c>
      <c r="G342" s="32">
        <v>0</v>
      </c>
      <c r="H342" s="37">
        <v>0</v>
      </c>
      <c r="I342" s="38">
        <f t="shared" si="12"/>
        <v>0</v>
      </c>
    </row>
    <row r="343" spans="1:9" ht="10.199999999999999" customHeight="1" x14ac:dyDescent="0.3">
      <c r="A343" s="32" t="str">
        <f>HYPERLINK("http://avail.sbinursery.com/LiveInventoryDetail.aspx?CustomerID=954&amp;intItemKey=46&amp;ProductID=ACERSUN12BB&amp;wWidth=700&amp;wHeight=510&amp;intHort=0&amp;imgProID=0&amp;strUserType=Live","Acer rubrum 'Franksred' Red Sunset®")</f>
        <v>Acer rubrum 'Franksred' Red Sunset®</v>
      </c>
      <c r="B343" s="32" t="s">
        <v>72</v>
      </c>
      <c r="C343" s="32"/>
      <c r="D343" s="33">
        <v>126</v>
      </c>
      <c r="E343" s="34"/>
      <c r="F343" s="35">
        <v>37</v>
      </c>
      <c r="G343" s="32">
        <v>0</v>
      </c>
      <c r="H343" s="37">
        <v>0</v>
      </c>
      <c r="I343" s="38">
        <f t="shared" si="12"/>
        <v>0</v>
      </c>
    </row>
    <row r="344" spans="1:9" ht="10.199999999999999" customHeight="1" x14ac:dyDescent="0.3">
      <c r="A344" s="32" t="str">
        <f>HYPERLINK("http://avail.sbinursery.com/LiveInventoryDetail.aspx?CustomerID=954&amp;intItemKey=46&amp;ProductID=ACERSUN15BB&amp;wWidth=700&amp;wHeight=510&amp;intHort=0&amp;imgProID=ACERSUN15BB&amp;strUserType=Live","Acer rubrum 'Franksred' Red Sunset®")</f>
        <v>Acer rubrum 'Franksred' Red Sunset®</v>
      </c>
      <c r="B344" s="32" t="s">
        <v>73</v>
      </c>
      <c r="C344" s="32"/>
      <c r="D344" s="33">
        <v>144</v>
      </c>
      <c r="E344" s="34"/>
      <c r="F344" s="35">
        <v>138</v>
      </c>
      <c r="G344" s="32">
        <v>0</v>
      </c>
      <c r="H344" s="37">
        <v>0</v>
      </c>
      <c r="I344" s="38">
        <f t="shared" si="12"/>
        <v>0</v>
      </c>
    </row>
    <row r="345" spans="1:9" ht="10.199999999999999" customHeight="1" x14ac:dyDescent="0.3">
      <c r="A345" s="32" t="str">
        <f>HYPERLINK("http://avail.sbinursery.com/LiveInventoryDetail.aspx?CustomerID=954&amp;intItemKey=46&amp;ProductID=ACERSUN17BB&amp;wWidth=700&amp;wHeight=510&amp;intHort=0&amp;imgProID=ACERSUN17BB&amp;strUserType=Live","Acer rubrum 'Franksred' Red Sunset®")</f>
        <v>Acer rubrum 'Franksred' Red Sunset®</v>
      </c>
      <c r="B345" s="32" t="s">
        <v>42</v>
      </c>
      <c r="C345" s="32"/>
      <c r="D345" s="33">
        <v>169</v>
      </c>
      <c r="E345" s="34"/>
      <c r="F345" s="35">
        <v>4</v>
      </c>
      <c r="G345" s="32">
        <v>0</v>
      </c>
      <c r="H345" s="37">
        <v>0</v>
      </c>
      <c r="I345" s="38">
        <f t="shared" si="12"/>
        <v>0</v>
      </c>
    </row>
    <row r="346" spans="1:9" ht="10.199999999999999" customHeight="1" x14ac:dyDescent="0.3">
      <c r="A346" s="32" t="str">
        <f>HYPERLINK("http://avail.sbinursery.com/LiveInventoryDetail.aspx?CustomerID=954&amp;intItemKey=46&amp;ProductID=ACERSUN20BB&amp;wWidth=700&amp;wHeight=510&amp;intHort=0&amp;imgProID=ACERSUN20BB&amp;strUserType=Live","Acer rubrum 'Franksred' Red Sunset®")</f>
        <v>Acer rubrum 'Franksred' Red Sunset®</v>
      </c>
      <c r="B346" s="32" t="s">
        <v>43</v>
      </c>
      <c r="C346" s="32"/>
      <c r="D346" s="33">
        <v>187</v>
      </c>
      <c r="E346" s="34"/>
      <c r="F346" s="35">
        <v>2</v>
      </c>
      <c r="G346" s="32">
        <v>0</v>
      </c>
      <c r="H346" s="37">
        <v>0</v>
      </c>
      <c r="I346" s="38">
        <f t="shared" si="12"/>
        <v>0</v>
      </c>
    </row>
    <row r="347" spans="1:9" ht="10.199999999999999" customHeight="1" x14ac:dyDescent="0.3">
      <c r="A347" s="32" t="str">
        <f>HYPERLINK("http://avail.sbinursery.com/LiveInventoryDetail.aspx?CustomerID=954&amp;intItemKey=1825&amp;ProductID=ACESACC12BB&amp;wWidth=700&amp;wHeight=510&amp;intHort=0&amp;imgProID=0&amp;strUserType=Live","Acer saccharum")</f>
        <v>Acer saccharum</v>
      </c>
      <c r="B347" s="32" t="s">
        <v>72</v>
      </c>
      <c r="C347" s="32"/>
      <c r="D347" s="33">
        <v>133</v>
      </c>
      <c r="E347" s="34"/>
      <c r="F347" s="35">
        <v>14</v>
      </c>
      <c r="G347" s="32">
        <v>0</v>
      </c>
      <c r="H347" s="37">
        <v>0</v>
      </c>
      <c r="I347" s="38">
        <f t="shared" si="12"/>
        <v>0</v>
      </c>
    </row>
    <row r="348" spans="1:9" ht="10.199999999999999" customHeight="1" x14ac:dyDescent="0.3">
      <c r="A348" s="32" t="str">
        <f>HYPERLINK("http://avail.sbinursery.com/LiveInventoryDetail.aspx?CustomerID=954&amp;intItemKey=1825&amp;ProductID=ACESACC15BB&amp;wWidth=700&amp;wHeight=510&amp;intHort=0&amp;imgProID=ACESACC15BB&amp;strUserType=Live","Acer saccharum")</f>
        <v>Acer saccharum</v>
      </c>
      <c r="B348" s="32" t="s">
        <v>73</v>
      </c>
      <c r="C348" s="32"/>
      <c r="D348" s="33">
        <v>151</v>
      </c>
      <c r="E348" s="34"/>
      <c r="F348" s="35">
        <v>2</v>
      </c>
      <c r="G348" s="32">
        <v>0</v>
      </c>
      <c r="H348" s="37">
        <v>0</v>
      </c>
      <c r="I348" s="38">
        <f t="shared" si="12"/>
        <v>0</v>
      </c>
    </row>
    <row r="349" spans="1:9" ht="10.199999999999999" customHeight="1" x14ac:dyDescent="0.3">
      <c r="A349" s="32" t="str">
        <f>HYPERLINK("http://avail.sbinursery.com/LiveInventoryDetail.aspx?CustomerID=954&amp;intItemKey=55&amp;ProductID=ACESCOM12BB&amp;wWidth=700&amp;wHeight=510&amp;intHort=0&amp;imgProID=0&amp;strUserType=Live","Acer saccharum 'Commemoration'")</f>
        <v>Acer saccharum 'Commemoration'</v>
      </c>
      <c r="B349" s="32" t="s">
        <v>72</v>
      </c>
      <c r="C349" s="32"/>
      <c r="D349" s="33">
        <v>133</v>
      </c>
      <c r="E349" s="34"/>
      <c r="F349" s="35">
        <v>14</v>
      </c>
      <c r="G349" s="32">
        <v>0</v>
      </c>
      <c r="H349" s="37">
        <v>0</v>
      </c>
      <c r="I349" s="38">
        <f t="shared" si="12"/>
        <v>0</v>
      </c>
    </row>
    <row r="350" spans="1:9" ht="10.199999999999999" customHeight="1" x14ac:dyDescent="0.3">
      <c r="A350" s="32" t="str">
        <f>HYPERLINK("http://avail.sbinursery.com/LiveInventoryDetail.aspx?CustomerID=954&amp;intItemKey=55&amp;ProductID=ACESCOM15BB&amp;wWidth=700&amp;wHeight=510&amp;intHort=0&amp;imgProID=ACESCOM15BB&amp;strUserType=Live","Acer saccharum 'Commemoration'")</f>
        <v>Acer saccharum 'Commemoration'</v>
      </c>
      <c r="B350" s="32" t="s">
        <v>73</v>
      </c>
      <c r="C350" s="32"/>
      <c r="D350" s="33">
        <v>151</v>
      </c>
      <c r="E350" s="34"/>
      <c r="F350" s="35">
        <v>22</v>
      </c>
      <c r="G350" s="32">
        <v>0</v>
      </c>
      <c r="H350" s="37">
        <v>0</v>
      </c>
      <c r="I350" s="38">
        <f t="shared" si="12"/>
        <v>0</v>
      </c>
    </row>
    <row r="351" spans="1:9" ht="10.199999999999999" customHeight="1" x14ac:dyDescent="0.3">
      <c r="A351" s="32" t="str">
        <f>HYPERLINK("http://avail.sbinursery.com/LiveInventoryDetail.aspx?CustomerID=954&amp;intItemKey=55&amp;ProductID=ACESCOM17BB&amp;wWidth=700&amp;wHeight=510&amp;intHort=0&amp;imgProID=ACESCOM17BB&amp;strUserType=Live","Acer saccharum 'Commemoration'")</f>
        <v>Acer saccharum 'Commemoration'</v>
      </c>
      <c r="B351" s="32" t="s">
        <v>42</v>
      </c>
      <c r="C351" s="32"/>
      <c r="D351" s="33">
        <v>178</v>
      </c>
      <c r="E351" s="34"/>
      <c r="F351" s="35">
        <v>7</v>
      </c>
      <c r="G351" s="32">
        <v>0</v>
      </c>
      <c r="H351" s="37">
        <v>0</v>
      </c>
      <c r="I351" s="38">
        <f t="shared" si="12"/>
        <v>0</v>
      </c>
    </row>
    <row r="352" spans="1:9" ht="10.199999999999999" customHeight="1" x14ac:dyDescent="0.3">
      <c r="A352" s="32" t="str">
        <f>HYPERLINK("http://avail.sbinursery.com/LiveInventoryDetail.aspx?CustomerID=954&amp;intItemKey=56&amp;ProductID=ACESMOU12BB&amp;wWidth=700&amp;wHeight=510&amp;intHort=0&amp;imgProID=0&amp;strUserType=Live","Acer saccharum 'Green Mountain'")</f>
        <v>Acer saccharum 'Green Mountain'</v>
      </c>
      <c r="B352" s="32" t="s">
        <v>72</v>
      </c>
      <c r="C352" s="32"/>
      <c r="D352" s="33">
        <v>133</v>
      </c>
      <c r="E352" s="34"/>
      <c r="F352" s="35">
        <v>39</v>
      </c>
      <c r="G352" s="32">
        <v>0</v>
      </c>
      <c r="H352" s="37">
        <v>0</v>
      </c>
      <c r="I352" s="38">
        <f t="shared" si="12"/>
        <v>0</v>
      </c>
    </row>
    <row r="353" spans="1:9" ht="10.199999999999999" customHeight="1" x14ac:dyDescent="0.3">
      <c r="A353" s="32" t="str">
        <f>HYPERLINK("http://avail.sbinursery.com/LiveInventoryDetail.aspx?CustomerID=954&amp;intItemKey=56&amp;ProductID=ACESMOU15BB&amp;wWidth=700&amp;wHeight=510&amp;intHort=0&amp;imgProID=ACESMOU15BB&amp;strUserType=Live","Acer saccharum 'Green Mountain'")</f>
        <v>Acer saccharum 'Green Mountain'</v>
      </c>
      <c r="B353" s="32" t="s">
        <v>73</v>
      </c>
      <c r="C353" s="32"/>
      <c r="D353" s="33">
        <v>151</v>
      </c>
      <c r="E353" s="34"/>
      <c r="F353" s="35">
        <v>76</v>
      </c>
      <c r="G353" s="32">
        <v>0</v>
      </c>
      <c r="H353" s="37">
        <v>0</v>
      </c>
      <c r="I353" s="38">
        <f t="shared" si="12"/>
        <v>0</v>
      </c>
    </row>
    <row r="354" spans="1:9" ht="10.199999999999999" customHeight="1" x14ac:dyDescent="0.3">
      <c r="A354" s="32" t="str">
        <f>HYPERLINK("http://avail.sbinursery.com/LiveInventoryDetail.aspx?CustomerID=954&amp;intItemKey=56&amp;ProductID=ACESMOU17BB&amp;wWidth=700&amp;wHeight=510&amp;intHort=0&amp;imgProID=ACESMOU17BB&amp;strUserType=Live","Acer saccharum 'Green Mountain'")</f>
        <v>Acer saccharum 'Green Mountain'</v>
      </c>
      <c r="B354" s="32" t="s">
        <v>42</v>
      </c>
      <c r="C354" s="32"/>
      <c r="D354" s="33">
        <v>178</v>
      </c>
      <c r="E354" s="34"/>
      <c r="F354" s="35">
        <v>7</v>
      </c>
      <c r="G354" s="32">
        <v>0</v>
      </c>
      <c r="H354" s="37">
        <v>0</v>
      </c>
      <c r="I354" s="38">
        <f t="shared" si="12"/>
        <v>0</v>
      </c>
    </row>
    <row r="355" spans="1:9" ht="10.199999999999999" customHeight="1" x14ac:dyDescent="0.3">
      <c r="A355" s="32" t="str">
        <f>HYPERLINK("http://avail.sbinursery.com/LiveInventoryDetail.aspx?CustomerID=954&amp;intItemKey=1802&amp;ProductID=ACESORE17BB&amp;wWidth=700&amp;wHeight=510&amp;intHort=0&amp;imgProID=ACESORE17BB&amp;strUserType=Live","Acer saccharum 'Hiawatha 1' Oregon Trail®")</f>
        <v>Acer saccharum 'Hiawatha 1' Oregon Trail®</v>
      </c>
      <c r="B355" s="32" t="s">
        <v>42</v>
      </c>
      <c r="C355" s="32"/>
      <c r="D355" s="33">
        <v>178</v>
      </c>
      <c r="E355" s="34"/>
      <c r="F355" s="35">
        <v>5</v>
      </c>
      <c r="G355" s="32">
        <v>0</v>
      </c>
      <c r="H355" s="37">
        <v>0</v>
      </c>
      <c r="I355" s="38">
        <f t="shared" si="12"/>
        <v>0</v>
      </c>
    </row>
    <row r="356" spans="1:9" ht="10.199999999999999" customHeight="1" x14ac:dyDescent="0.3">
      <c r="A356" s="32" t="str">
        <f>HYPERLINK("http://avail.sbinursery.com/LiveInventoryDetail.aspx?CustomerID=954&amp;intItemKey=1802&amp;ProductID=ACESORE20BB&amp;wWidth=700&amp;wHeight=510&amp;intHort=0&amp;imgProID=ACESORE20BB&amp;strUserType=Live","Acer saccharum 'Hiawatha 1' Oregon Trail®")</f>
        <v>Acer saccharum 'Hiawatha 1' Oregon Trail®</v>
      </c>
      <c r="B356" s="32" t="s">
        <v>43</v>
      </c>
      <c r="C356" s="32"/>
      <c r="D356" s="33">
        <v>197</v>
      </c>
      <c r="E356" s="34"/>
      <c r="F356" s="35">
        <v>9</v>
      </c>
      <c r="G356" s="32">
        <v>0</v>
      </c>
      <c r="H356" s="37">
        <v>0</v>
      </c>
      <c r="I356" s="38">
        <f t="shared" si="12"/>
        <v>0</v>
      </c>
    </row>
    <row r="357" spans="1:9" ht="10.199999999999999" customHeight="1" x14ac:dyDescent="0.3">
      <c r="A357" s="32" t="str">
        <f>HYPERLINK("http://avail.sbinursery.com/LiveInventoryDetail.aspx?CustomerID=954&amp;intItemKey=1801&amp;ProductID=ACETFLA15BB&amp;wWidth=700&amp;wHeight=510&amp;intHort=0&amp;imgProID=0&amp;strUserType=Live","Acer t. v. g. 'Flame'")</f>
        <v>Acer t. v. g. 'Flame'</v>
      </c>
      <c r="B357" s="32" t="s">
        <v>73</v>
      </c>
      <c r="C357" s="32"/>
      <c r="D357" s="33">
        <v>147</v>
      </c>
      <c r="E357" s="34"/>
      <c r="F357" s="35">
        <v>13</v>
      </c>
      <c r="G357" s="32">
        <v>0</v>
      </c>
      <c r="H357" s="37">
        <v>0</v>
      </c>
      <c r="I357" s="38">
        <f t="shared" si="12"/>
        <v>0</v>
      </c>
    </row>
    <row r="358" spans="1:9" ht="10.199999999999999" customHeight="1" x14ac:dyDescent="0.3">
      <c r="A358" s="32" t="str">
        <f>HYPERLINK("http://avail.sbinursery.com/LiveInventoryDetail.aspx?CustomerID=954&amp;intItemKey=1801&amp;ProductID=ACETFLA17BB&amp;wWidth=700&amp;wHeight=510&amp;intHort=0&amp;imgProID=ACETFLA17BB&amp;strUserType=Live","Acer t. v. g. 'Flame'")</f>
        <v>Acer t. v. g. 'Flame'</v>
      </c>
      <c r="B358" s="32" t="s">
        <v>42</v>
      </c>
      <c r="C358" s="32"/>
      <c r="D358" s="33">
        <v>172</v>
      </c>
      <c r="E358" s="34"/>
      <c r="F358" s="35">
        <v>9</v>
      </c>
      <c r="G358" s="32">
        <v>0</v>
      </c>
      <c r="H358" s="37">
        <v>0</v>
      </c>
      <c r="I358" s="38">
        <f t="shared" si="12"/>
        <v>0</v>
      </c>
    </row>
    <row r="359" spans="1:9" ht="10.199999999999999" customHeight="1" x14ac:dyDescent="0.3">
      <c r="A359" s="32" t="str">
        <f>HYPERLINK("http://avail.sbinursery.com/LiveInventoryDetail.aspx?CustomerID=954&amp;intItemKey=1801&amp;ProductID=ACETFLA20BB&amp;wWidth=700&amp;wHeight=510&amp;intHort=0&amp;imgProID=ACETFLA20BB&amp;strUserType=Live","Acer t. v. g. 'Flame'")</f>
        <v>Acer t. v. g. 'Flame'</v>
      </c>
      <c r="B359" s="32" t="s">
        <v>43</v>
      </c>
      <c r="C359" s="32"/>
      <c r="D359" s="33">
        <v>191</v>
      </c>
      <c r="E359" s="34"/>
      <c r="F359" s="35">
        <v>1</v>
      </c>
      <c r="G359" s="32">
        <v>0</v>
      </c>
      <c r="H359" s="37">
        <v>0</v>
      </c>
      <c r="I359" s="38">
        <f t="shared" si="12"/>
        <v>0</v>
      </c>
    </row>
    <row r="360" spans="1:9" ht="10.199999999999999" customHeight="1" x14ac:dyDescent="0.3">
      <c r="A360" s="32" t="str">
        <f>HYPERLINK("http://avail.sbinursery.com/LiveInventoryDetail.aspx?CustomerID=954&amp;intItemKey=58&amp;ProductID=ACETPAC12BB&amp;wWidth=700&amp;wHeight=510&amp;intHort=0&amp;imgProID=0&amp;strUserType=Live","Acer truncatum x platanoides 'Warrenred' Pacific Sunset®")</f>
        <v>Acer truncatum x platanoides 'Warrenred' Pacific Sunset®</v>
      </c>
      <c r="B360" s="32" t="s">
        <v>72</v>
      </c>
      <c r="C360" s="32"/>
      <c r="D360" s="33">
        <v>143</v>
      </c>
      <c r="E360" s="34"/>
      <c r="F360" s="35">
        <v>3</v>
      </c>
      <c r="G360" s="32">
        <v>0</v>
      </c>
      <c r="H360" s="37">
        <v>0</v>
      </c>
      <c r="I360" s="38">
        <f t="shared" si="12"/>
        <v>0</v>
      </c>
    </row>
    <row r="361" spans="1:9" ht="10.199999999999999" customHeight="1" x14ac:dyDescent="0.3">
      <c r="A361" s="32" t="str">
        <f>HYPERLINK("http://avail.sbinursery.com/LiveInventoryDetail.aspx?CustomerID=954&amp;intItemKey=58&amp;ProductID=ACETPAC15BB&amp;wWidth=700&amp;wHeight=510&amp;intHort=0&amp;imgProID=ACETPAC15BB&amp;strUserType=Live","Acer truncatum x platanoides 'Warrenred' Pacific Sunset®")</f>
        <v>Acer truncatum x platanoides 'Warrenred' Pacific Sunset®</v>
      </c>
      <c r="B361" s="32" t="s">
        <v>73</v>
      </c>
      <c r="C361" s="32"/>
      <c r="D361" s="33">
        <v>162</v>
      </c>
      <c r="E361" s="34"/>
      <c r="F361" s="35">
        <v>19</v>
      </c>
      <c r="G361" s="32">
        <v>0</v>
      </c>
      <c r="H361" s="37">
        <v>0</v>
      </c>
      <c r="I361" s="38">
        <f t="shared" si="12"/>
        <v>0</v>
      </c>
    </row>
    <row r="362" spans="1:9" ht="10.199999999999999" customHeight="1" x14ac:dyDescent="0.3">
      <c r="A362" s="32" t="str">
        <f>HYPERLINK("http://avail.sbinursery.com/LiveInventoryDetail.aspx?CustomerID=954&amp;intItemKey=58&amp;ProductID=ACETPAC17BB&amp;wWidth=700&amp;wHeight=510&amp;intHort=0&amp;imgProID=ACETPAC17BB&amp;strUserType=Live","Acer truncatum x platanoides 'Warrenred' Pacific Sunset®")</f>
        <v>Acer truncatum x platanoides 'Warrenred' Pacific Sunset®</v>
      </c>
      <c r="B362" s="32" t="s">
        <v>42</v>
      </c>
      <c r="C362" s="32"/>
      <c r="D362" s="33">
        <v>190</v>
      </c>
      <c r="E362" s="34"/>
      <c r="F362" s="35">
        <v>18</v>
      </c>
      <c r="G362" s="32">
        <v>0</v>
      </c>
      <c r="H362" s="37">
        <v>0</v>
      </c>
      <c r="I362" s="38">
        <f t="shared" si="12"/>
        <v>0</v>
      </c>
    </row>
    <row r="363" spans="1:9" ht="10.199999999999999" customHeight="1" x14ac:dyDescent="0.3">
      <c r="A363" s="32" t="str">
        <f>HYPERLINK("http://avail.sbinursery.com/LiveInventoryDetail.aspx?CustomerID=954&amp;intItemKey=58&amp;ProductID=ACETPAC20BB&amp;wWidth=700&amp;wHeight=510&amp;intHort=0&amp;imgProID=ACETPAC20BB&amp;strUserType=Live","Acer truncatum x platanoides 'Warrenred' Pacific Sunset®")</f>
        <v>Acer truncatum x platanoides 'Warrenred' Pacific Sunset®</v>
      </c>
      <c r="B363" s="32" t="s">
        <v>43</v>
      </c>
      <c r="C363" s="32"/>
      <c r="D363" s="33">
        <v>211</v>
      </c>
      <c r="E363" s="34"/>
      <c r="F363" s="35">
        <v>1</v>
      </c>
      <c r="G363" s="32">
        <v>0</v>
      </c>
      <c r="H363" s="37">
        <v>0</v>
      </c>
      <c r="I363" s="38">
        <f t="shared" si="12"/>
        <v>0</v>
      </c>
    </row>
    <row r="364" spans="1:9" ht="10.199999999999999" customHeight="1" x14ac:dyDescent="0.3">
      <c r="A364" s="32" t="str">
        <f>HYPERLINK("http://avail.sbinursery.com/LiveInventoryDetail.aspx?CustomerID=954&amp;intItemKey=58&amp;ProductID=ACETPAC25BB&amp;wWidth=700&amp;wHeight=510&amp;intHort=0&amp;imgProID=ACETPAC25BB&amp;strUserType=Live","Acer truncatum x platanoides 'Warrenred' Pacific Sunset®")</f>
        <v>Acer truncatum x platanoides 'Warrenred' Pacific Sunset®</v>
      </c>
      <c r="B364" s="32" t="s">
        <v>44</v>
      </c>
      <c r="C364" s="32"/>
      <c r="D364" s="33">
        <v>275</v>
      </c>
      <c r="E364" s="34"/>
      <c r="F364" s="35">
        <v>1</v>
      </c>
      <c r="G364" s="32">
        <v>0</v>
      </c>
      <c r="H364" s="37">
        <v>0</v>
      </c>
      <c r="I364" s="38">
        <f t="shared" si="12"/>
        <v>0</v>
      </c>
    </row>
    <row r="365" spans="1:9" ht="10.199999999999999" customHeight="1" x14ac:dyDescent="0.3">
      <c r="A365" s="32" t="str">
        <f>HYPERLINK("http://avail.sbinursery.com/LiveInventoryDetail.aspx?CustomerID=954&amp;intItemKey=58&amp;ProductID=ACETPAC30BB&amp;wWidth=700&amp;wHeight=510&amp;intHort=0&amp;imgProID=ACETPAC30BB&amp;strUserType=Live","Acer truncatum x platanoides 'Warrenred' Pacific Sunset®")</f>
        <v>Acer truncatum x platanoides 'Warrenred' Pacific Sunset®</v>
      </c>
      <c r="B365" s="32" t="s">
        <v>75</v>
      </c>
      <c r="C365" s="32"/>
      <c r="D365" s="33">
        <v>316</v>
      </c>
      <c r="E365" s="34"/>
      <c r="F365" s="35">
        <v>2</v>
      </c>
      <c r="G365" s="32">
        <v>0</v>
      </c>
      <c r="H365" s="37">
        <v>0</v>
      </c>
      <c r="I365" s="38">
        <f t="shared" si="12"/>
        <v>0</v>
      </c>
    </row>
    <row r="366" spans="1:9" ht="10.199999999999999" customHeight="1" x14ac:dyDescent="0.3">
      <c r="A366" s="32" t="str">
        <f>HYPERLINK("http://avail.sbinursery.com/LiveInventoryDetail.aspx?CustomerID=954&amp;intItemKey=1808&amp;ProductID=AESGLAB17BB&amp;wWidth=700&amp;wHeight=510&amp;intHort=0&amp;imgProID=AESGLAB17BB&amp;strUserType=Live","Aesculus glabra")</f>
        <v>Aesculus glabra</v>
      </c>
      <c r="B366" s="32" t="s">
        <v>42</v>
      </c>
      <c r="C366" s="32"/>
      <c r="D366" s="33">
        <v>190</v>
      </c>
      <c r="E366" s="34"/>
      <c r="F366" s="35">
        <v>7</v>
      </c>
      <c r="G366" s="32">
        <v>0</v>
      </c>
      <c r="H366" s="37">
        <v>0</v>
      </c>
      <c r="I366" s="38">
        <f t="shared" si="12"/>
        <v>0</v>
      </c>
    </row>
    <row r="367" spans="1:9" ht="10.199999999999999" customHeight="1" x14ac:dyDescent="0.3">
      <c r="A367" s="32" t="str">
        <f>HYPERLINK("http://avail.sbinursery.com/LiveInventoryDetail.aspx?CustomerID=954&amp;intItemKey=1808&amp;ProductID=AESGLAB35BB&amp;wWidth=700&amp;wHeight=510&amp;intHort=0&amp;imgProID=0&amp;strUserType=Live","Aesculus glabra")</f>
        <v>Aesculus glabra</v>
      </c>
      <c r="B367" s="32" t="s">
        <v>76</v>
      </c>
      <c r="C367" s="32"/>
      <c r="D367" s="33">
        <v>363</v>
      </c>
      <c r="E367" s="34"/>
      <c r="F367" s="35">
        <v>1</v>
      </c>
      <c r="G367" s="32">
        <v>0</v>
      </c>
      <c r="H367" s="37">
        <v>0</v>
      </c>
      <c r="I367" s="38">
        <f t="shared" ref="I367:I395" si="13">PRODUCT(D367,H367)</f>
        <v>0</v>
      </c>
    </row>
    <row r="368" spans="1:9" ht="10.199999999999999" customHeight="1" x14ac:dyDescent="0.3">
      <c r="A368" s="32" t="str">
        <f>HYPERLINK("http://avail.sbinursery.com/LiveInventoryDetail.aspx?CustomerID=954&amp;intItemKey=2015&amp;ProductID=AMESTOL30BBC&amp;wWidth=700&amp;wHeight=510&amp;intHort=0&amp;imgProID=0&amp;strUserType=Live","Amelanchier stolonifera CLP")</f>
        <v>Amelanchier stolonifera CLP</v>
      </c>
      <c r="B368" s="32" t="s">
        <v>77</v>
      </c>
      <c r="C368" s="32"/>
      <c r="D368" s="33">
        <v>75</v>
      </c>
      <c r="E368" s="34"/>
      <c r="F368" s="35">
        <v>62</v>
      </c>
      <c r="G368" s="32">
        <v>0</v>
      </c>
      <c r="H368" s="37">
        <v>0</v>
      </c>
      <c r="I368" s="38">
        <f t="shared" si="13"/>
        <v>0</v>
      </c>
    </row>
    <row r="369" spans="1:9" ht="10.199999999999999" customHeight="1" x14ac:dyDescent="0.3">
      <c r="A369" s="32" t="str">
        <f>HYPERLINK("http://avail.sbinursery.com/LiveInventoryDetail.aspx?CustomerID=954&amp;intItemKey=2015&amp;ProductID=AMESTOL36BBC&amp;wWidth=700&amp;wHeight=510&amp;intHort=0&amp;imgProID=0&amp;strUserType=Live","Amelanchier stolonifera CLP")</f>
        <v>Amelanchier stolonifera CLP</v>
      </c>
      <c r="B369" s="32" t="s">
        <v>78</v>
      </c>
      <c r="C369" s="32"/>
      <c r="D369" s="33">
        <v>86</v>
      </c>
      <c r="E369" s="34"/>
      <c r="F369" s="35">
        <v>34</v>
      </c>
      <c r="G369" s="32">
        <v>0</v>
      </c>
      <c r="H369" s="37">
        <v>0</v>
      </c>
      <c r="I369" s="38">
        <f t="shared" si="13"/>
        <v>0</v>
      </c>
    </row>
    <row r="370" spans="1:9" ht="10.199999999999999" customHeight="1" x14ac:dyDescent="0.3">
      <c r="A370" s="32" t="str">
        <f>HYPERLINK("http://avail.sbinursery.com/LiveInventoryDetail.aspx?CustomerID=954&amp;intItemKey=76&amp;ProductID=AMEXBRI04BBC&amp;wWidth=700&amp;wHeight=510&amp;intHort=0&amp;imgProID=0&amp;strUserType=Live","Amelanchier x 'Autumn Brilliance' CLP")</f>
        <v>Amelanchier x 'Autumn Brilliance' CLP</v>
      </c>
      <c r="B370" s="32" t="s">
        <v>79</v>
      </c>
      <c r="C370" s="32"/>
      <c r="D370" s="33">
        <v>105</v>
      </c>
      <c r="E370" s="34"/>
      <c r="F370" s="35">
        <v>6</v>
      </c>
      <c r="G370" s="32">
        <v>0</v>
      </c>
      <c r="H370" s="37">
        <v>0</v>
      </c>
      <c r="I370" s="38">
        <f t="shared" si="13"/>
        <v>0</v>
      </c>
    </row>
    <row r="371" spans="1:9" ht="10.199999999999999" customHeight="1" x14ac:dyDescent="0.3">
      <c r="A371" s="32" t="str">
        <f>HYPERLINK("http://avail.sbinursery.com/LiveInventoryDetail.aspx?CustomerID=954&amp;intItemKey=76&amp;ProductID=AMEXBRI05BBC&amp;wWidth=700&amp;wHeight=510&amp;intHort=0&amp;imgProID=AMEXBRI05BBC&amp;strUserType=Live","Amelanchier x 'Autumn Brilliance' CLP")</f>
        <v>Amelanchier x 'Autumn Brilliance' CLP</v>
      </c>
      <c r="B371" s="32" t="s">
        <v>80</v>
      </c>
      <c r="C371" s="32"/>
      <c r="D371" s="33">
        <v>123</v>
      </c>
      <c r="E371" s="34"/>
      <c r="F371" s="35">
        <v>28</v>
      </c>
      <c r="G371" s="32">
        <v>0</v>
      </c>
      <c r="H371" s="37">
        <v>0</v>
      </c>
      <c r="I371" s="38">
        <f t="shared" si="13"/>
        <v>0</v>
      </c>
    </row>
    <row r="372" spans="1:9" ht="10.199999999999999" customHeight="1" x14ac:dyDescent="0.3">
      <c r="A372" s="32" t="str">
        <f>HYPERLINK("http://avail.sbinursery.com/LiveInventoryDetail.aspx?CustomerID=954&amp;intItemKey=1703&amp;ProductID=BETNDUR08BBM&amp;wWidth=700&amp;wHeight=510&amp;intHort=0&amp;imgProID=BETNDUR08BBM&amp;strUserType=Live","Betula nigra 'BMNTF' Dura Heat® MS")</f>
        <v>Betula nigra 'BMNTF' Dura Heat® MS</v>
      </c>
      <c r="B372" s="32" t="s">
        <v>81</v>
      </c>
      <c r="C372" s="32"/>
      <c r="D372" s="33">
        <v>126</v>
      </c>
      <c r="E372" s="34"/>
      <c r="F372" s="35">
        <v>1</v>
      </c>
      <c r="G372" s="32">
        <v>0</v>
      </c>
      <c r="H372" s="37">
        <v>0</v>
      </c>
      <c r="I372" s="38">
        <f t="shared" si="13"/>
        <v>0</v>
      </c>
    </row>
    <row r="373" spans="1:9" ht="10.199999999999999" customHeight="1" x14ac:dyDescent="0.3">
      <c r="A373" s="32" t="str">
        <f>HYPERLINK("http://avail.sbinursery.com/LiveInventoryDetail.aspx?CustomerID=954&amp;intItemKey=1703&amp;ProductID=BETNDUR10BBM&amp;wWidth=700&amp;wHeight=510&amp;intHort=0&amp;imgProID=BETNDUR10BBM&amp;strUserType=Live","Betula nigra 'BMNTF' Dura Heat® MS")</f>
        <v>Betula nigra 'BMNTF' Dura Heat® MS</v>
      </c>
      <c r="B373" s="32" t="s">
        <v>82</v>
      </c>
      <c r="C373" s="32"/>
      <c r="D373" s="33">
        <v>185</v>
      </c>
      <c r="E373" s="34"/>
      <c r="F373" s="35">
        <v>1</v>
      </c>
      <c r="G373" s="32">
        <v>0</v>
      </c>
      <c r="H373" s="37">
        <v>0</v>
      </c>
      <c r="I373" s="38">
        <f t="shared" si="13"/>
        <v>0</v>
      </c>
    </row>
    <row r="374" spans="1:9" ht="10.199999999999999" customHeight="1" x14ac:dyDescent="0.3">
      <c r="A374" s="32" t="str">
        <f>HYPERLINK("http://avail.sbinursery.com/LiveInventoryDetail.aspx?CustomerID=954&amp;intItemKey=1760&amp;ProductID=BETNFRO12BB&amp;wWidth=700&amp;wHeight=510&amp;intHort=0&amp;imgProID=0&amp;strUserType=Live","Betula x 'Royal Frost")</f>
        <v>Betula x 'Royal Frost</v>
      </c>
      <c r="B374" s="32" t="s">
        <v>72</v>
      </c>
      <c r="C374" s="32"/>
      <c r="D374" s="33">
        <v>139</v>
      </c>
      <c r="E374" s="34"/>
      <c r="F374" s="35">
        <v>3</v>
      </c>
      <c r="G374" s="32">
        <v>0</v>
      </c>
      <c r="H374" s="37">
        <v>0</v>
      </c>
      <c r="I374" s="38">
        <f t="shared" si="13"/>
        <v>0</v>
      </c>
    </row>
    <row r="375" spans="1:9" ht="10.199999999999999" customHeight="1" x14ac:dyDescent="0.3">
      <c r="A375" s="32" t="str">
        <f>HYPERLINK("http://avail.sbinursery.com/LiveInventoryDetail.aspx?CustomerID=954&amp;intItemKey=1760&amp;ProductID=BETNFRO15BB&amp;wWidth=700&amp;wHeight=510&amp;intHort=0&amp;imgProID=BETNFRO15BB&amp;strUserType=Live","Betula x 'Royal Frost")</f>
        <v>Betula x 'Royal Frost</v>
      </c>
      <c r="B375" s="32" t="s">
        <v>73</v>
      </c>
      <c r="C375" s="32"/>
      <c r="D375" s="33">
        <v>157</v>
      </c>
      <c r="E375" s="34"/>
      <c r="F375" s="35">
        <v>12</v>
      </c>
      <c r="G375" s="32">
        <v>0</v>
      </c>
      <c r="H375" s="37">
        <v>0</v>
      </c>
      <c r="I375" s="38">
        <f t="shared" si="13"/>
        <v>0</v>
      </c>
    </row>
    <row r="376" spans="1:9" ht="10.199999999999999" customHeight="1" x14ac:dyDescent="0.3">
      <c r="A376" s="32" t="str">
        <f>HYPERLINK("http://avail.sbinursery.com/LiveInventoryDetail.aspx?CustomerID=954&amp;intItemKey=1518&amp;ProductID=BETNHER10BBM&amp;wWidth=700&amp;wHeight=510&amp;intHort=0&amp;imgProID=BETNHER10BBM&amp;strUserType=Live","Betula nigra 'Cully' Heritage® MS")</f>
        <v>Betula nigra 'Cully' Heritage® MS</v>
      </c>
      <c r="B376" s="32" t="s">
        <v>82</v>
      </c>
      <c r="C376" s="32"/>
      <c r="D376" s="33">
        <v>185</v>
      </c>
      <c r="E376" s="34"/>
      <c r="F376" s="35">
        <v>2</v>
      </c>
      <c r="G376" s="32">
        <v>0</v>
      </c>
      <c r="H376" s="37">
        <v>0</v>
      </c>
      <c r="I376" s="38">
        <f t="shared" si="13"/>
        <v>0</v>
      </c>
    </row>
    <row r="377" spans="1:9" ht="10.199999999999999" customHeight="1" x14ac:dyDescent="0.3">
      <c r="A377" s="32" t="str">
        <f>HYPERLINK("http://avail.sbinursery.com/LiveInventoryDetail.aspx?CustomerID=954&amp;intItemKey=882&amp;ProductID=BETNHER12BB&amp;wWidth=700&amp;wHeight=510&amp;intHort=0&amp;imgProID=0&amp;strUserType=Live","Betula nigra 'Cully' Heritage®")</f>
        <v>Betula nigra 'Cully' Heritage®</v>
      </c>
      <c r="B377" s="32" t="s">
        <v>72</v>
      </c>
      <c r="C377" s="32"/>
      <c r="D377" s="33">
        <v>133</v>
      </c>
      <c r="E377" s="34"/>
      <c r="F377" s="35">
        <v>3</v>
      </c>
      <c r="G377" s="32">
        <v>0</v>
      </c>
      <c r="H377" s="37">
        <v>0</v>
      </c>
      <c r="I377" s="38">
        <f t="shared" si="13"/>
        <v>0</v>
      </c>
    </row>
    <row r="378" spans="1:9" ht="10.199999999999999" customHeight="1" x14ac:dyDescent="0.3">
      <c r="A378" s="32" t="str">
        <f>HYPERLINK("http://avail.sbinursery.com/LiveInventoryDetail.aspx?CustomerID=954&amp;intItemKey=1518&amp;ProductID=BETNHER12BBM&amp;wWidth=700&amp;wHeight=510&amp;intHort=0&amp;imgProID=BETNHER12BBM&amp;strUserType=Live","Betula nigra 'Cully' Heritage® MS")</f>
        <v>Betula nigra 'Cully' Heritage® MS</v>
      </c>
      <c r="B378" s="32" t="s">
        <v>83</v>
      </c>
      <c r="C378" s="32"/>
      <c r="D378" s="33">
        <v>203</v>
      </c>
      <c r="E378" s="34"/>
      <c r="F378" s="35">
        <v>120</v>
      </c>
      <c r="G378" s="32">
        <v>0</v>
      </c>
      <c r="H378" s="37">
        <v>0</v>
      </c>
      <c r="I378" s="38">
        <f t="shared" si="13"/>
        <v>0</v>
      </c>
    </row>
    <row r="379" spans="1:9" ht="10.199999999999999" customHeight="1" x14ac:dyDescent="0.3">
      <c r="A379" s="32" t="str">
        <f>HYPERLINK("http://avail.sbinursery.com/LiveInventoryDetail.aspx?CustomerID=954&amp;intItemKey=103&amp;ProductID=BETNHER14BBC&amp;wWidth=700&amp;wHeight=510&amp;intHort=0&amp;imgProID=BETNHER14BBC&amp;strUserType=Live","Betula nigra 'Cully' Heritage® CLP")</f>
        <v>Betula nigra 'Cully' Heritage® CLP</v>
      </c>
      <c r="B379" s="32" t="s">
        <v>84</v>
      </c>
      <c r="C379" s="32"/>
      <c r="D379" s="33">
        <v>234</v>
      </c>
      <c r="E379" s="34"/>
      <c r="F379" s="35">
        <v>1</v>
      </c>
      <c r="G379" s="32">
        <v>0</v>
      </c>
      <c r="H379" s="37">
        <v>0</v>
      </c>
      <c r="I379" s="38">
        <f t="shared" si="13"/>
        <v>0</v>
      </c>
    </row>
    <row r="380" spans="1:9" ht="10.199999999999999" customHeight="1" x14ac:dyDescent="0.3">
      <c r="A380" s="32" t="str">
        <f>HYPERLINK("http://avail.sbinursery.com/LiveInventoryDetail.aspx?CustomerID=954&amp;intItemKey=1518&amp;ProductID=BETNHER14BBM&amp;wWidth=700&amp;wHeight=510&amp;intHort=0&amp;imgProID=BETNHER14BBM&amp;strUserType=Live","Betula nigra 'Cully' Heritage® MS")</f>
        <v>Betula nigra 'Cully' Heritage® MS</v>
      </c>
      <c r="B380" s="32" t="s">
        <v>85</v>
      </c>
      <c r="C380" s="32"/>
      <c r="D380" s="33">
        <v>234</v>
      </c>
      <c r="E380" s="34"/>
      <c r="F380" s="35">
        <v>3</v>
      </c>
      <c r="G380" s="32">
        <v>0</v>
      </c>
      <c r="H380" s="37">
        <v>0</v>
      </c>
      <c r="I380" s="38">
        <f t="shared" si="13"/>
        <v>0</v>
      </c>
    </row>
    <row r="381" spans="1:9" ht="10.199999999999999" customHeight="1" x14ac:dyDescent="0.3">
      <c r="A381" s="32" t="str">
        <f>HYPERLINK("http://avail.sbinursery.com/LiveInventoryDetail.aspx?CustomerID=954&amp;intItemKey=882&amp;ProductID=BETNHER15BB&amp;wWidth=700&amp;wHeight=510&amp;intHort=0&amp;imgProID=0&amp;strUserType=Live","Betula nigra 'Cully' Heritage®")</f>
        <v>Betula nigra 'Cully' Heritage®</v>
      </c>
      <c r="B381" s="32" t="s">
        <v>73</v>
      </c>
      <c r="C381" s="32"/>
      <c r="D381" s="33">
        <v>151</v>
      </c>
      <c r="E381" s="34"/>
      <c r="F381" s="35">
        <v>20</v>
      </c>
      <c r="G381" s="32">
        <v>0</v>
      </c>
      <c r="H381" s="37">
        <v>0</v>
      </c>
      <c r="I381" s="38">
        <f t="shared" si="13"/>
        <v>0</v>
      </c>
    </row>
    <row r="382" spans="1:9" ht="10.199999999999999" customHeight="1" x14ac:dyDescent="0.3">
      <c r="A382" s="32" t="str">
        <f>HYPERLINK("http://avail.sbinursery.com/LiveInventoryDetail.aspx?CustomerID=954&amp;intItemKey=882&amp;ProductID=BETNHER15BBI&amp;wWidth=700&amp;wHeight=510&amp;intHort=0&amp;imgProID=0&amp;strUserType=Live","Betula nigra 'Cully' Heritage®")</f>
        <v>Betula nigra 'Cully' Heritage®</v>
      </c>
      <c r="B382" s="32" t="s">
        <v>74</v>
      </c>
      <c r="C382" s="32"/>
      <c r="D382" s="33">
        <v>105</v>
      </c>
      <c r="E382" s="34"/>
      <c r="F382" s="35">
        <v>3</v>
      </c>
      <c r="G382" s="32">
        <v>0</v>
      </c>
      <c r="H382" s="37">
        <v>0</v>
      </c>
      <c r="I382" s="38">
        <f t="shared" si="13"/>
        <v>0</v>
      </c>
    </row>
    <row r="383" spans="1:9" ht="10.199999999999999" customHeight="1" x14ac:dyDescent="0.3">
      <c r="A383" s="32" t="str">
        <f>HYPERLINK("http://avail.sbinursery.com/LiveInventoryDetail.aspx?CustomerID=954&amp;intItemKey=882&amp;ProductID=BETNHER30BB&amp;wWidth=700&amp;wHeight=510&amp;intHort=0&amp;imgProID=BETNHER30BB&amp;strUserType=Live","Betula nigra 'Cully' Heritage®")</f>
        <v>Betula nigra 'Cully' Heritage®</v>
      </c>
      <c r="B383" s="32" t="s">
        <v>75</v>
      </c>
      <c r="C383" s="32"/>
      <c r="D383" s="33">
        <v>295</v>
      </c>
      <c r="E383" s="34"/>
      <c r="F383" s="35">
        <v>1</v>
      </c>
      <c r="G383" s="32">
        <v>0</v>
      </c>
      <c r="H383" s="37">
        <v>0</v>
      </c>
      <c r="I383" s="38">
        <f t="shared" si="13"/>
        <v>0</v>
      </c>
    </row>
    <row r="384" spans="1:9" ht="10.199999999999999" customHeight="1" x14ac:dyDescent="0.3">
      <c r="A384" s="32" t="str">
        <f>HYPERLINK("http://avail.sbinursery.com/LiveInventoryDetail.aspx?CustomerID=954&amp;intItemKey=882&amp;ProductID=BETNHER50BB&amp;wWidth=700&amp;wHeight=510&amp;intHort=0&amp;imgProID=0&amp;strUserType=Live","Betula nigra 'Cully' Heritage®")</f>
        <v>Betula nigra 'Cully' Heritage®</v>
      </c>
      <c r="B384" s="32" t="s">
        <v>86</v>
      </c>
      <c r="C384" s="32"/>
      <c r="D384" s="33">
        <v>493</v>
      </c>
      <c r="E384" s="34"/>
      <c r="F384" s="35">
        <v>1</v>
      </c>
      <c r="G384" s="32">
        <v>0</v>
      </c>
      <c r="H384" s="37">
        <v>0</v>
      </c>
      <c r="I384" s="38">
        <f t="shared" si="13"/>
        <v>0</v>
      </c>
    </row>
    <row r="385" spans="1:9" ht="10.199999999999999" customHeight="1" x14ac:dyDescent="0.3">
      <c r="A385" s="32" t="str">
        <f>HYPERLINK("http://avail.sbinursery.com/LiveInventoryDetail.aspx?CustomerID=954&amp;intItemKey=1797&amp;ProductID=BETPREN12BB&amp;wWidth=700&amp;wHeight=510&amp;intHort=0&amp;imgProID=0&amp;strUserType=Live","Betula papyrifera 'Renci' Renaissance Reflection®")</f>
        <v>Betula papyrifera 'Renci' Renaissance Reflection®</v>
      </c>
      <c r="B385" s="32" t="s">
        <v>72</v>
      </c>
      <c r="C385" s="32"/>
      <c r="D385" s="33">
        <v>133</v>
      </c>
      <c r="E385" s="34"/>
      <c r="F385" s="35">
        <v>3</v>
      </c>
      <c r="G385" s="32">
        <v>0</v>
      </c>
      <c r="H385" s="37">
        <v>0</v>
      </c>
      <c r="I385" s="38">
        <f t="shared" si="13"/>
        <v>0</v>
      </c>
    </row>
    <row r="386" spans="1:9" ht="10.199999999999999" customHeight="1" x14ac:dyDescent="0.3">
      <c r="A386" s="32" t="str">
        <f>HYPERLINK("http://avail.sbinursery.com/LiveInventoryDetail.aspx?CustomerID=954&amp;intItemKey=1797&amp;ProductID=BETPREN15BB&amp;wWidth=700&amp;wHeight=510&amp;intHort=0&amp;imgProID=BETPREN15BB&amp;strUserType=Live","Betula papyrifera 'Renci' Renaissance Reflection®")</f>
        <v>Betula papyrifera 'Renci' Renaissance Reflection®</v>
      </c>
      <c r="B386" s="32" t="s">
        <v>73</v>
      </c>
      <c r="C386" s="32"/>
      <c r="D386" s="33">
        <v>151</v>
      </c>
      <c r="E386" s="34"/>
      <c r="F386" s="35">
        <v>2</v>
      </c>
      <c r="G386" s="32">
        <v>0</v>
      </c>
      <c r="H386" s="37">
        <v>0</v>
      </c>
      <c r="I386" s="38">
        <f t="shared" si="13"/>
        <v>0</v>
      </c>
    </row>
    <row r="387" spans="1:9" ht="10.199999999999999" customHeight="1" x14ac:dyDescent="0.3">
      <c r="A387" s="32" t="str">
        <f>HYPERLINK("http://avail.sbinursery.com/LiveInventoryDetail.aspx?CustomerID=954&amp;intItemKey=1797&amp;ProductID=BETPREN25BB&amp;wWidth=700&amp;wHeight=510&amp;intHort=0&amp;imgProID=BETPREN25BB&amp;strUserType=Live","Betula papyrifera 'Renci' Renaissance Reflection®")</f>
        <v>Betula papyrifera 'Renci' Renaissance Reflection®</v>
      </c>
      <c r="B387" s="32" t="s">
        <v>44</v>
      </c>
      <c r="C387" s="32"/>
      <c r="D387" s="33">
        <v>257</v>
      </c>
      <c r="E387" s="34"/>
      <c r="F387" s="35">
        <v>2</v>
      </c>
      <c r="G387" s="32">
        <v>0</v>
      </c>
      <c r="H387" s="37">
        <v>0</v>
      </c>
      <c r="I387" s="38">
        <f t="shared" si="13"/>
        <v>0</v>
      </c>
    </row>
    <row r="388" spans="1:9" ht="10.199999999999999" customHeight="1" x14ac:dyDescent="0.3">
      <c r="A388" s="32" t="str">
        <f>HYPERLINK("http://avail.sbinursery.com/LiveInventoryDetail.aspx?CustomerID=954&amp;intItemKey=859&amp;ProductID=BETPWHI08BBC&amp;wWidth=700&amp;wHeight=510&amp;intHort=0&amp;imgProID=BETPWHI08BBC&amp;strUserType=Live","Betula populifolia 'Whitespire' CLP")</f>
        <v>Betula populifolia 'Whitespire' CLP</v>
      </c>
      <c r="B388" s="32" t="s">
        <v>90</v>
      </c>
      <c r="C388" s="32"/>
      <c r="D388" s="33">
        <v>154</v>
      </c>
      <c r="E388" s="34"/>
      <c r="F388" s="35">
        <v>50</v>
      </c>
      <c r="G388" s="32">
        <v>0</v>
      </c>
      <c r="H388" s="37">
        <v>0</v>
      </c>
      <c r="I388" s="38">
        <f t="shared" si="13"/>
        <v>0</v>
      </c>
    </row>
    <row r="389" spans="1:9" ht="10.199999999999999" customHeight="1" x14ac:dyDescent="0.3">
      <c r="A389" s="32" t="str">
        <f>HYPERLINK("http://avail.sbinursery.com/LiveInventoryDetail.aspx?CustomerID=954&amp;intItemKey=859&amp;ProductID=BETPWHI09BBC&amp;wWidth=700&amp;wHeight=510&amp;intHort=0&amp;imgProID=0&amp;strUserType=Live","Betula populifolia 'Whitespire' CLP")</f>
        <v>Betula populifolia 'Whitespire' CLP</v>
      </c>
      <c r="B389" s="32" t="s">
        <v>87</v>
      </c>
      <c r="C389" s="32"/>
      <c r="D389" s="33">
        <v>188</v>
      </c>
      <c r="E389" s="34"/>
      <c r="F389" s="35">
        <v>10</v>
      </c>
      <c r="G389" s="32">
        <v>0</v>
      </c>
      <c r="H389" s="37">
        <v>0</v>
      </c>
      <c r="I389" s="38">
        <f t="shared" si="13"/>
        <v>0</v>
      </c>
    </row>
    <row r="390" spans="1:9" ht="10.199999999999999" customHeight="1" x14ac:dyDescent="0.3">
      <c r="A390" s="32" t="str">
        <f>HYPERLINK("http://avail.sbinursery.com/LiveInventoryDetail.aspx?CustomerID=954&amp;intItemKey=106&amp;ProductID=BETPWHI12BB&amp;wWidth=700&amp;wHeight=510&amp;intHort=0&amp;imgProID=0&amp;strUserType=Live","Betula populifolia 'Whitespire'")</f>
        <v>Betula populifolia 'Whitespire'</v>
      </c>
      <c r="B390" s="32" t="s">
        <v>72</v>
      </c>
      <c r="C390" s="32"/>
      <c r="D390" s="33">
        <v>133</v>
      </c>
      <c r="E390" s="34"/>
      <c r="F390" s="35">
        <v>18</v>
      </c>
      <c r="G390" s="32">
        <v>0</v>
      </c>
      <c r="H390" s="37">
        <v>0</v>
      </c>
      <c r="I390" s="38">
        <f t="shared" si="13"/>
        <v>0</v>
      </c>
    </row>
    <row r="391" spans="1:9" ht="10.199999999999999" customHeight="1" x14ac:dyDescent="0.3">
      <c r="A391" s="32" t="str">
        <f>HYPERLINK("http://avail.sbinursery.com/LiveInventoryDetail.aspx?CustomerID=954&amp;intItemKey=106&amp;ProductID=BETPWHI15BB&amp;wWidth=700&amp;wHeight=510&amp;intHort=0&amp;imgProID=BETPWHI15BB&amp;strUserType=Live","Betula populifolia 'Whitespire'")</f>
        <v>Betula populifolia 'Whitespire'</v>
      </c>
      <c r="B391" s="32" t="s">
        <v>73</v>
      </c>
      <c r="C391" s="32"/>
      <c r="D391" s="33">
        <v>151</v>
      </c>
      <c r="E391" s="34"/>
      <c r="F391" s="35">
        <v>28</v>
      </c>
      <c r="G391" s="32">
        <v>0</v>
      </c>
      <c r="H391" s="37">
        <v>0</v>
      </c>
      <c r="I391" s="38">
        <f t="shared" si="13"/>
        <v>0</v>
      </c>
    </row>
    <row r="392" spans="1:9" ht="10.199999999999999" customHeight="1" x14ac:dyDescent="0.3">
      <c r="A392" s="32" t="str">
        <f>HYPERLINK("http://avail.sbinursery.com/LiveInventoryDetail.aspx?CustomerID=954&amp;intItemKey=106&amp;ProductID=BETPWHI17BB&amp;wWidth=700&amp;wHeight=510&amp;intHort=0&amp;imgProID=BETPWHI17BB&amp;strUserType=Live","Betula populifolia 'Whitespire'")</f>
        <v>Betula populifolia 'Whitespire'</v>
      </c>
      <c r="B392" s="32" t="s">
        <v>42</v>
      </c>
      <c r="C392" s="32"/>
      <c r="D392" s="33">
        <v>178</v>
      </c>
      <c r="E392" s="34"/>
      <c r="F392" s="35">
        <v>2</v>
      </c>
      <c r="G392" s="32">
        <v>0</v>
      </c>
      <c r="H392" s="37">
        <v>0</v>
      </c>
      <c r="I392" s="38">
        <f t="shared" si="13"/>
        <v>0</v>
      </c>
    </row>
    <row r="393" spans="1:9" ht="10.199999999999999" customHeight="1" x14ac:dyDescent="0.3">
      <c r="A393" s="32" t="str">
        <f>HYPERLINK("http://avail.sbinursery.com/LiveInventoryDetail.aspx?CustomerID=954&amp;intItemKey=1776&amp;ProductID=CARBEME17BB&amp;wWidth=700&amp;wHeight=510&amp;intHort=0&amp;imgProID=CARBEME17BB&amp;strUserType=Live","Carpinus betulus 'JFS-KW1CB' PP22814 Emerald Avenue®")</f>
        <v>Carpinus betulus 'JFS-KW1CB' PP22814 Emerald Avenue®</v>
      </c>
      <c r="B393" s="32" t="s">
        <v>42</v>
      </c>
      <c r="C393" s="32"/>
      <c r="D393" s="33">
        <v>190</v>
      </c>
      <c r="E393" s="34"/>
      <c r="F393" s="35">
        <v>1</v>
      </c>
      <c r="G393" s="32">
        <v>0</v>
      </c>
      <c r="H393" s="37">
        <v>0</v>
      </c>
      <c r="I393" s="38">
        <f t="shared" si="13"/>
        <v>0</v>
      </c>
    </row>
    <row r="394" spans="1:9" ht="10.199999999999999" customHeight="1" x14ac:dyDescent="0.3">
      <c r="A394" s="32" t="str">
        <f>HYPERLINK("http://avail.sbinursery.com/LiveInventoryDetail.aspx?CustomerID=954&amp;intItemKey=1776&amp;ProductID=CARBEME20BB&amp;wWidth=700&amp;wHeight=510&amp;intHort=0&amp;imgProID=CARBEME20BB&amp;strUserType=Live","Carpinus betulus 'JFS-KW1CB' PP22814 Emerald Avenue®")</f>
        <v>Carpinus betulus 'JFS-KW1CB' PP22814 Emerald Avenue®</v>
      </c>
      <c r="B394" s="32" t="s">
        <v>43</v>
      </c>
      <c r="C394" s="32"/>
      <c r="D394" s="33">
        <v>228</v>
      </c>
      <c r="E394" s="34"/>
      <c r="F394" s="35">
        <v>2</v>
      </c>
      <c r="G394" s="32">
        <v>0</v>
      </c>
      <c r="H394" s="37">
        <v>0</v>
      </c>
      <c r="I394" s="38">
        <f t="shared" si="13"/>
        <v>0</v>
      </c>
    </row>
    <row r="395" spans="1:9" ht="10.199999999999999" customHeight="1" x14ac:dyDescent="0.3">
      <c r="A395" s="32" t="str">
        <f>HYPERLINK("http://avail.sbinursery.com/LiveInventoryDetail.aspx?CustomerID=954&amp;intItemKey=1776&amp;ProductID=CARBEME30BB&amp;wWidth=700&amp;wHeight=510&amp;intHort=0&amp;imgProID=CARBEME30BB&amp;strUserType=Live","Carpinus betulus 'JFS-KW1CB' PP22814 Emerald Avenue®")</f>
        <v>Carpinus betulus 'JFS-KW1CB' PP22814 Emerald Avenue®</v>
      </c>
      <c r="B395" s="32" t="s">
        <v>75</v>
      </c>
      <c r="C395" s="32"/>
      <c r="D395" s="33">
        <v>341</v>
      </c>
      <c r="E395" s="34"/>
      <c r="F395" s="35">
        <v>3</v>
      </c>
      <c r="G395" s="32">
        <v>0</v>
      </c>
      <c r="H395" s="37">
        <v>0</v>
      </c>
      <c r="I395" s="38">
        <f t="shared" si="13"/>
        <v>0</v>
      </c>
    </row>
    <row r="396" spans="1:9" ht="10.199999999999999" customHeight="1" x14ac:dyDescent="0.3">
      <c r="A396" s="32" t="str">
        <f>HYPERLINK("http://avail.sbinursery.com/LiveInventoryDetail.aspx?CustomerID=954&amp;intItemKey=128&amp;ProductID=CARBFAS15BB&amp;wWidth=700&amp;wHeight=510&amp;intHort=0&amp;imgProID=CARBFAS15BB&amp;strUserType=Live","Carpinus betulus 'Fastigiata'")</f>
        <v>Carpinus betulus 'Fastigiata'</v>
      </c>
      <c r="B396" s="32" t="s">
        <v>73</v>
      </c>
      <c r="C396" s="32"/>
      <c r="D396" s="33">
        <v>165</v>
      </c>
      <c r="E396" s="34"/>
      <c r="F396" s="35">
        <v>1</v>
      </c>
      <c r="G396" s="32">
        <v>0</v>
      </c>
      <c r="H396" s="37">
        <v>0</v>
      </c>
      <c r="I396" s="38">
        <f t="shared" ref="I396:I431" si="14">PRODUCT(D396,H396)</f>
        <v>0</v>
      </c>
    </row>
    <row r="397" spans="1:9" ht="10.199999999999999" customHeight="1" x14ac:dyDescent="0.3">
      <c r="A397" s="32" t="str">
        <f>HYPERLINK("http://avail.sbinursery.com/LiveInventoryDetail.aspx?CustomerID=954&amp;intItemKey=128&amp;ProductID=CARBFAS17BB&amp;wWidth=700&amp;wHeight=510&amp;intHort=0&amp;imgProID=CARBFAS17BB&amp;strUserType=Live","Carpinus betulus 'Fastigiata'")</f>
        <v>Carpinus betulus 'Fastigiata'</v>
      </c>
      <c r="B397" s="32" t="s">
        <v>42</v>
      </c>
      <c r="C397" s="32"/>
      <c r="D397" s="33">
        <v>194</v>
      </c>
      <c r="E397" s="34"/>
      <c r="F397" s="35">
        <v>1</v>
      </c>
      <c r="G397" s="32">
        <v>0</v>
      </c>
      <c r="H397" s="37">
        <v>0</v>
      </c>
      <c r="I397" s="38">
        <f t="shared" si="14"/>
        <v>0</v>
      </c>
    </row>
    <row r="398" spans="1:9" ht="10.199999999999999" customHeight="1" x14ac:dyDescent="0.3">
      <c r="A398" s="32" t="str">
        <f>HYPERLINK("http://avail.sbinursery.com/LiveInventoryDetail.aspx?CustomerID=954&amp;intItemKey=128&amp;ProductID=CARBFAS30BB&amp;wWidth=700&amp;wHeight=510&amp;intHort=0&amp;imgProID=CARBFAS30BB&amp;strUserType=Live","Carpinus betulus 'Fastigiata'")</f>
        <v>Carpinus betulus 'Fastigiata'</v>
      </c>
      <c r="B398" s="32" t="s">
        <v>75</v>
      </c>
      <c r="C398" s="32"/>
      <c r="D398" s="33">
        <v>322</v>
      </c>
      <c r="E398" s="34"/>
      <c r="F398" s="35">
        <v>3</v>
      </c>
      <c r="G398" s="32">
        <v>0</v>
      </c>
      <c r="H398" s="37">
        <v>0</v>
      </c>
      <c r="I398" s="38">
        <f t="shared" si="14"/>
        <v>0</v>
      </c>
    </row>
    <row r="399" spans="1:9" ht="10.199999999999999" customHeight="1" x14ac:dyDescent="0.3">
      <c r="A399" s="32" t="str">
        <f>HYPERLINK("http://avail.sbinursery.com/LiveInventoryDetail.aspx?CustomerID=954&amp;intItemKey=128&amp;ProductID=CARBFAS35BB&amp;wWidth=700&amp;wHeight=510&amp;intHort=0&amp;imgProID=0&amp;strUserType=Live","Carpinus betulus 'Fastigiata'")</f>
        <v>Carpinus betulus 'Fastigiata'</v>
      </c>
      <c r="B399" s="32" t="s">
        <v>76</v>
      </c>
      <c r="C399" s="32"/>
      <c r="D399" s="33">
        <v>370</v>
      </c>
      <c r="E399" s="34"/>
      <c r="F399" s="35">
        <v>1</v>
      </c>
      <c r="G399" s="32">
        <v>0</v>
      </c>
      <c r="H399" s="37">
        <v>0</v>
      </c>
      <c r="I399" s="38">
        <f t="shared" si="14"/>
        <v>0</v>
      </c>
    </row>
    <row r="400" spans="1:9" ht="10.199999999999999" customHeight="1" x14ac:dyDescent="0.3">
      <c r="A400" s="32" t="str">
        <f>HYPERLINK("http://avail.sbinursery.com/LiveInventoryDetail.aspx?CustomerID=954&amp;intItemKey=1303&amp;ProductID=CARBFRA25BB&amp;wWidth=700&amp;wHeight=510&amp;intHort=0&amp;imgProID=0&amp;strUserType=Live","Carpinus betulus 'Frans Fontaine'")</f>
        <v>Carpinus betulus 'Frans Fontaine'</v>
      </c>
      <c r="B400" s="32" t="s">
        <v>44</v>
      </c>
      <c r="C400" s="32"/>
      <c r="D400" s="33">
        <v>280</v>
      </c>
      <c r="E400" s="34"/>
      <c r="F400" s="35">
        <v>2</v>
      </c>
      <c r="G400" s="32">
        <v>0</v>
      </c>
      <c r="H400" s="37">
        <v>0</v>
      </c>
      <c r="I400" s="38">
        <f t="shared" si="14"/>
        <v>0</v>
      </c>
    </row>
    <row r="401" spans="1:9" ht="10.199999999999999" customHeight="1" x14ac:dyDescent="0.3">
      <c r="A401" s="32" t="str">
        <f>HYPERLINK("http://avail.sbinursery.com/LiveInventoryDetail.aspx?CustomerID=954&amp;intItemKey=1303&amp;ProductID=CARBFRA40BB&amp;wWidth=700&amp;wHeight=510&amp;intHort=0&amp;imgProID=0&amp;strUserType=Live","Carpinus betulus 'Frans Fontaine'")</f>
        <v>Carpinus betulus 'Frans Fontaine'</v>
      </c>
      <c r="B401" s="32" t="s">
        <v>91</v>
      </c>
      <c r="C401" s="32"/>
      <c r="D401" s="33">
        <v>407</v>
      </c>
      <c r="E401" s="34"/>
      <c r="F401" s="35">
        <v>1</v>
      </c>
      <c r="G401" s="32">
        <v>0</v>
      </c>
      <c r="H401" s="37">
        <v>0</v>
      </c>
      <c r="I401" s="38">
        <f t="shared" si="14"/>
        <v>0</v>
      </c>
    </row>
    <row r="402" spans="1:9" ht="10.199999999999999" customHeight="1" x14ac:dyDescent="0.3">
      <c r="A402" s="32" t="str">
        <f>HYPERLINK("http://avail.sbinursery.com/LiveInventoryDetail.aspx?CustomerID=954&amp;intItemKey=1753&amp;ProductID=CATSPEC20BB&amp;wWidth=700&amp;wHeight=510&amp;intHort=0&amp;imgProID=CATSPEC20BB&amp;strUserType=Live","Catalpa speciosa")</f>
        <v>Catalpa speciosa</v>
      </c>
      <c r="B402" s="32" t="s">
        <v>43</v>
      </c>
      <c r="C402" s="32"/>
      <c r="D402" s="33">
        <v>191</v>
      </c>
      <c r="E402" s="34"/>
      <c r="F402" s="35">
        <v>1</v>
      </c>
      <c r="G402" s="32">
        <v>0</v>
      </c>
      <c r="H402" s="37">
        <v>0</v>
      </c>
      <c r="I402" s="38">
        <f t="shared" si="14"/>
        <v>0</v>
      </c>
    </row>
    <row r="403" spans="1:9" ht="10.199999999999999" customHeight="1" x14ac:dyDescent="0.3">
      <c r="A403" s="32" t="str">
        <f>HYPERLINK("http://avail.sbinursery.com/LiveInventoryDetail.aspx?CustomerID=954&amp;intItemKey=1753&amp;ProductID=CATSPEC50BB&amp;wWidth=700&amp;wHeight=510&amp;intHort=0&amp;imgProID=CATSPEC50BB&amp;strUserType=Live","Catalpa speciosa")</f>
        <v>Catalpa speciosa</v>
      </c>
      <c r="B403" s="32" t="s">
        <v>86</v>
      </c>
      <c r="C403" s="32"/>
      <c r="D403" s="33">
        <v>478</v>
      </c>
      <c r="E403" s="34"/>
      <c r="F403" s="35">
        <v>2</v>
      </c>
      <c r="G403" s="32">
        <v>0</v>
      </c>
      <c r="H403" s="37">
        <v>0</v>
      </c>
      <c r="I403" s="38">
        <f t="shared" si="14"/>
        <v>0</v>
      </c>
    </row>
    <row r="404" spans="1:9" ht="10.199999999999999" customHeight="1" x14ac:dyDescent="0.3">
      <c r="A404" s="32" t="str">
        <f>HYPERLINK("http://avail.sbinursery.com/LiveInventoryDetail.aspx?CustomerID=954&amp;intItemKey=1753&amp;ProductID=CATSPEC55BB&amp;wWidth=700&amp;wHeight=510&amp;intHort=0&amp;imgProID=0&amp;strUserType=Live","Catalpa speciosa")</f>
        <v>Catalpa speciosa</v>
      </c>
      <c r="B404" s="32" t="s">
        <v>92</v>
      </c>
      <c r="C404" s="32"/>
      <c r="D404" s="33">
        <v>550</v>
      </c>
      <c r="E404" s="34"/>
      <c r="F404" s="35">
        <v>1</v>
      </c>
      <c r="G404" s="32">
        <v>0</v>
      </c>
      <c r="H404" s="37">
        <v>0</v>
      </c>
      <c r="I404" s="38">
        <f t="shared" si="14"/>
        <v>0</v>
      </c>
    </row>
    <row r="405" spans="1:9" ht="10.199999999999999" customHeight="1" x14ac:dyDescent="0.3">
      <c r="A405" s="32" t="str">
        <f>HYPERLINK("http://avail.sbinursery.com/LiveInventoryDetail.aspx?CustomerID=954&amp;intItemKey=136&amp;ProductID=CELOCCI12BB&amp;wWidth=700&amp;wHeight=510&amp;intHort=0&amp;imgProID=0&amp;strUserType=Live","Celtis occidentalis")</f>
        <v>Celtis occidentalis</v>
      </c>
      <c r="B405" s="32" t="s">
        <v>72</v>
      </c>
      <c r="C405" s="32"/>
      <c r="D405" s="33">
        <v>133</v>
      </c>
      <c r="E405" s="34"/>
      <c r="F405" s="35">
        <v>2</v>
      </c>
      <c r="G405" s="32">
        <v>0</v>
      </c>
      <c r="H405" s="37">
        <v>0</v>
      </c>
      <c r="I405" s="38">
        <f t="shared" si="14"/>
        <v>0</v>
      </c>
    </row>
    <row r="406" spans="1:9" ht="10.199999999999999" customHeight="1" x14ac:dyDescent="0.3">
      <c r="A406" s="32" t="str">
        <f>HYPERLINK("http://avail.sbinursery.com/LiveInventoryDetail.aspx?CustomerID=954&amp;intItemKey=136&amp;ProductID=CELOCCI17BB&amp;wWidth=700&amp;wHeight=510&amp;intHort=0&amp;imgProID=CELOCCI17BB&amp;strUserType=Live","Celtis occidentalis")</f>
        <v>Celtis occidentalis</v>
      </c>
      <c r="B406" s="32" t="s">
        <v>42</v>
      </c>
      <c r="C406" s="32"/>
      <c r="D406" s="33">
        <v>178</v>
      </c>
      <c r="E406" s="34"/>
      <c r="F406" s="35">
        <v>1</v>
      </c>
      <c r="G406" s="32">
        <v>0</v>
      </c>
      <c r="H406" s="37">
        <v>0</v>
      </c>
      <c r="I406" s="38">
        <f t="shared" si="14"/>
        <v>0</v>
      </c>
    </row>
    <row r="407" spans="1:9" ht="10.199999999999999" customHeight="1" x14ac:dyDescent="0.3">
      <c r="A407" s="32" t="str">
        <f>HYPERLINK("http://avail.sbinursery.com/LiveInventoryDetail.aspx?CustomerID=954&amp;intItemKey=137&amp;ProductID=CELOULT15BB&amp;wWidth=700&amp;wHeight=510&amp;intHort=0&amp;imgProID=CELOULT15BB&amp;strUserType=Live","Celtis occidentalis 'Ulzam' Ultra™")</f>
        <v>Celtis occidentalis 'Ulzam' Ultra™</v>
      </c>
      <c r="B407" s="32" t="s">
        <v>73</v>
      </c>
      <c r="C407" s="32"/>
      <c r="D407" s="33">
        <v>154</v>
      </c>
      <c r="E407" s="34"/>
      <c r="F407" s="35">
        <v>1</v>
      </c>
      <c r="G407" s="32">
        <v>0</v>
      </c>
      <c r="H407" s="37">
        <v>0</v>
      </c>
      <c r="I407" s="38">
        <f t="shared" si="14"/>
        <v>0</v>
      </c>
    </row>
    <row r="408" spans="1:9" ht="10.199999999999999" customHeight="1" x14ac:dyDescent="0.3">
      <c r="A408" s="32" t="str">
        <f>HYPERLINK("http://avail.sbinursery.com/LiveInventoryDetail.aspx?CustomerID=954&amp;intItemKey=137&amp;ProductID=CELOULT17BB&amp;wWidth=700&amp;wHeight=510&amp;intHort=0&amp;imgProID=CELOULT17BB&amp;strUserType=Live","Celtis occidentalis 'Ulzam' Ultra™")</f>
        <v>Celtis occidentalis 'Ulzam' Ultra™</v>
      </c>
      <c r="B408" s="32" t="s">
        <v>42</v>
      </c>
      <c r="C408" s="32"/>
      <c r="D408" s="33">
        <v>181</v>
      </c>
      <c r="E408" s="34"/>
      <c r="F408" s="35">
        <v>1</v>
      </c>
      <c r="G408" s="32">
        <v>0</v>
      </c>
      <c r="H408" s="37">
        <v>0</v>
      </c>
      <c r="I408" s="38">
        <f t="shared" si="14"/>
        <v>0</v>
      </c>
    </row>
    <row r="409" spans="1:9" ht="10.199999999999999" customHeight="1" x14ac:dyDescent="0.3">
      <c r="A409" s="32" t="str">
        <f>HYPERLINK("http://avail.sbinursery.com/LiveInventoryDetail.aspx?CustomerID=954&amp;intItemKey=137&amp;ProductID=CELOULT20BB&amp;wWidth=700&amp;wHeight=510&amp;intHort=0&amp;imgProID=CELOULT20BB&amp;strUserType=Live","Celtis occidentalis 'Ulzam' Ultra™")</f>
        <v>Celtis occidentalis 'Ulzam' Ultra™</v>
      </c>
      <c r="B409" s="32" t="s">
        <v>43</v>
      </c>
      <c r="C409" s="32"/>
      <c r="D409" s="33">
        <v>201</v>
      </c>
      <c r="E409" s="34"/>
      <c r="F409" s="35">
        <v>1</v>
      </c>
      <c r="G409" s="32">
        <v>0</v>
      </c>
      <c r="H409" s="37">
        <v>0</v>
      </c>
      <c r="I409" s="38">
        <f t="shared" si="14"/>
        <v>0</v>
      </c>
    </row>
    <row r="410" spans="1:9" ht="10.199999999999999" customHeight="1" x14ac:dyDescent="0.3">
      <c r="A410" s="32" t="str">
        <f>HYPERLINK("http://avail.sbinursery.com/LiveInventoryDetail.aspx?CustomerID=954&amp;intItemKey=143&amp;ProductID=CERCANA03BBC&amp;wWidth=700&amp;wHeight=510&amp;intHort=0&amp;imgProID=0&amp;strUserType=Live","Cercis canadensis CLP")</f>
        <v>Cercis canadensis CLP</v>
      </c>
      <c r="B410" s="32" t="s">
        <v>78</v>
      </c>
      <c r="C410" s="32"/>
      <c r="D410" s="33">
        <v>90</v>
      </c>
      <c r="E410" s="34"/>
      <c r="F410" s="35">
        <v>1</v>
      </c>
      <c r="G410" s="32">
        <v>0</v>
      </c>
      <c r="H410" s="37">
        <v>0</v>
      </c>
      <c r="I410" s="38">
        <f t="shared" si="14"/>
        <v>0</v>
      </c>
    </row>
    <row r="411" spans="1:9" ht="10.199999999999999" customHeight="1" x14ac:dyDescent="0.3">
      <c r="A411" s="32" t="str">
        <f>HYPERLINK("http://avail.sbinursery.com/LiveInventoryDetail.aspx?CustomerID=954&amp;intItemKey=143&amp;ProductID=CERCANA04BBC&amp;wWidth=700&amp;wHeight=510&amp;intHort=0&amp;imgProID=0&amp;strUserType=Live","Cercis canadensis CLP")</f>
        <v>Cercis canadensis CLP</v>
      </c>
      <c r="B411" s="32" t="s">
        <v>79</v>
      </c>
      <c r="C411" s="32"/>
      <c r="D411" s="33">
        <v>109</v>
      </c>
      <c r="E411" s="34"/>
      <c r="F411" s="35">
        <v>29</v>
      </c>
      <c r="G411" s="32">
        <v>0</v>
      </c>
      <c r="H411" s="37">
        <v>0</v>
      </c>
      <c r="I411" s="38">
        <f t="shared" si="14"/>
        <v>0</v>
      </c>
    </row>
    <row r="412" spans="1:9" ht="10.199999999999999" customHeight="1" x14ac:dyDescent="0.3">
      <c r="A412" s="32" t="str">
        <f>HYPERLINK("http://avail.sbinursery.com/LiveInventoryDetail.aspx?CustomerID=954&amp;intItemKey=143&amp;ProductID=CERCANA05BBC&amp;wWidth=700&amp;wHeight=510&amp;intHort=0&amp;imgProID=CERCANA05BBC&amp;strUserType=Live","Cercis canadensis CLP")</f>
        <v>Cercis canadensis CLP</v>
      </c>
      <c r="B412" s="32" t="s">
        <v>80</v>
      </c>
      <c r="C412" s="32"/>
      <c r="D412" s="33">
        <v>126</v>
      </c>
      <c r="E412" s="34"/>
      <c r="F412" s="35">
        <v>21</v>
      </c>
      <c r="G412" s="32">
        <v>0</v>
      </c>
      <c r="H412" s="37">
        <v>0</v>
      </c>
      <c r="I412" s="38">
        <f t="shared" si="14"/>
        <v>0</v>
      </c>
    </row>
    <row r="413" spans="1:9" ht="10.199999999999999" customHeight="1" x14ac:dyDescent="0.3">
      <c r="A413" s="32" t="str">
        <f>HYPERLINK("http://avail.sbinursery.com/LiveInventoryDetail.aspx?CustomerID=954&amp;intItemKey=143&amp;ProductID=CERCANA06BBC&amp;wWidth=700&amp;wHeight=510&amp;intHort=0&amp;imgProID=CERCANA06BBC&amp;strUserType=Live","Cercis canadensis CLP")</f>
        <v>Cercis canadensis CLP</v>
      </c>
      <c r="B413" s="32" t="s">
        <v>88</v>
      </c>
      <c r="C413" s="32"/>
      <c r="D413" s="33">
        <v>142</v>
      </c>
      <c r="E413" s="34"/>
      <c r="F413" s="35">
        <v>7</v>
      </c>
      <c r="G413" s="32">
        <v>0</v>
      </c>
      <c r="H413" s="37">
        <v>0</v>
      </c>
      <c r="I413" s="38">
        <f t="shared" si="14"/>
        <v>0</v>
      </c>
    </row>
    <row r="414" spans="1:9" ht="10.199999999999999" customHeight="1" x14ac:dyDescent="0.3">
      <c r="A414" s="32" t="str">
        <f>HYPERLINK("http://avail.sbinursery.com/LiveInventoryDetail.aspx?CustomerID=954&amp;intItemKey=143&amp;ProductID=CERCANA07BBC&amp;wWidth=700&amp;wHeight=510&amp;intHort=0&amp;imgProID=CERCANA07BBC&amp;strUserType=Live","Cercis canadensis CLP")</f>
        <v>Cercis canadensis CLP</v>
      </c>
      <c r="B414" s="32" t="s">
        <v>89</v>
      </c>
      <c r="C414" s="32"/>
      <c r="D414" s="33">
        <v>171</v>
      </c>
      <c r="E414" s="34"/>
      <c r="F414" s="35">
        <v>3</v>
      </c>
      <c r="G414" s="32">
        <v>0</v>
      </c>
      <c r="H414" s="37">
        <v>0</v>
      </c>
      <c r="I414" s="38">
        <f t="shared" si="14"/>
        <v>0</v>
      </c>
    </row>
    <row r="415" spans="1:9" ht="10.199999999999999" customHeight="1" x14ac:dyDescent="0.3">
      <c r="A415" s="32" t="str">
        <f>HYPERLINK("http://avail.sbinursery.com/LiveInventoryDetail.aspx?CustomerID=954&amp;intItemKey=812&amp;ProductID=CERCANA12BB&amp;wWidth=700&amp;wHeight=510&amp;intHort=0&amp;imgProID=0&amp;strUserType=Live","Cercis canadensis")</f>
        <v>Cercis canadensis</v>
      </c>
      <c r="B415" s="32" t="s">
        <v>72</v>
      </c>
      <c r="C415" s="32"/>
      <c r="D415" s="33">
        <v>133</v>
      </c>
      <c r="E415" s="34"/>
      <c r="F415" s="35">
        <v>19</v>
      </c>
      <c r="G415" s="32">
        <v>0</v>
      </c>
      <c r="H415" s="37">
        <v>0</v>
      </c>
      <c r="I415" s="38">
        <f t="shared" si="14"/>
        <v>0</v>
      </c>
    </row>
    <row r="416" spans="1:9" ht="10.199999999999999" customHeight="1" x14ac:dyDescent="0.3">
      <c r="A416" s="32" t="str">
        <f>HYPERLINK("http://avail.sbinursery.com/LiveInventoryDetail.aspx?CustomerID=954&amp;intItemKey=1781&amp;ProductID=CERCHEA17BB&amp;wWidth=700&amp;wHeight=510&amp;intHort=0&amp;imgProID=CERCHEA17BB&amp;strUserType=Live","Cercis canadensis 'Hearts of Gold' PP17740")</f>
        <v>Cercis canadensis 'Hearts of Gold' PP17740</v>
      </c>
      <c r="B416" s="32" t="s">
        <v>42</v>
      </c>
      <c r="C416" s="32"/>
      <c r="D416" s="33">
        <v>196</v>
      </c>
      <c r="E416" s="34"/>
      <c r="F416" s="35">
        <v>1</v>
      </c>
      <c r="G416" s="32">
        <v>0</v>
      </c>
      <c r="H416" s="37">
        <v>0</v>
      </c>
      <c r="I416" s="38">
        <f t="shared" si="14"/>
        <v>0</v>
      </c>
    </row>
    <row r="417" spans="1:9" ht="10.199999999999999" customHeight="1" x14ac:dyDescent="0.3">
      <c r="A417" s="32" t="str">
        <f>HYPERLINK("http://avail.sbinursery.com/LiveInventoryDetail.aspx?CustomerID=954&amp;intItemKey=1047&amp;ProductID=CERCPAN05BBC&amp;wWidth=700&amp;wHeight=510&amp;intHort=0&amp;imgProID=CERCPAN05BBC&amp;strUserType=Live","Cercis canadensis 'Forest Pansy' CLP")</f>
        <v>Cercis canadensis 'Forest Pansy' CLP</v>
      </c>
      <c r="B417" s="32" t="s">
        <v>80</v>
      </c>
      <c r="C417" s="32"/>
      <c r="D417" s="33">
        <v>128</v>
      </c>
      <c r="E417" s="34"/>
      <c r="F417" s="35">
        <v>15</v>
      </c>
      <c r="G417" s="32">
        <v>0</v>
      </c>
      <c r="H417" s="37">
        <v>0</v>
      </c>
      <c r="I417" s="38">
        <f t="shared" si="14"/>
        <v>0</v>
      </c>
    </row>
    <row r="418" spans="1:9" ht="10.199999999999999" customHeight="1" x14ac:dyDescent="0.3">
      <c r="A418" s="32" t="str">
        <f>HYPERLINK("http://avail.sbinursery.com/LiveInventoryDetail.aspx?CustomerID=954&amp;intItemKey=1047&amp;ProductID=CERCPAN06BBC&amp;wWidth=700&amp;wHeight=510&amp;intHort=0&amp;imgProID=CERCPAN06BBC&amp;strUserType=Live","Cercis canadensis 'Forest Pansy' CLP")</f>
        <v>Cercis canadensis 'Forest Pansy' CLP</v>
      </c>
      <c r="B418" s="32" t="s">
        <v>88</v>
      </c>
      <c r="C418" s="32"/>
      <c r="D418" s="33">
        <v>142</v>
      </c>
      <c r="E418" s="34"/>
      <c r="F418" s="35">
        <v>2</v>
      </c>
      <c r="G418" s="32">
        <v>0</v>
      </c>
      <c r="H418" s="37">
        <v>0</v>
      </c>
      <c r="I418" s="38">
        <f t="shared" si="14"/>
        <v>0</v>
      </c>
    </row>
    <row r="419" spans="1:9" ht="10.199999999999999" customHeight="1" x14ac:dyDescent="0.3">
      <c r="A419" s="32" t="str">
        <f>HYPERLINK("http://avail.sbinursery.com/LiveInventoryDetail.aspx?CustomerID=954&amp;intItemKey=1047&amp;ProductID=CERCPAN07BBC&amp;wWidth=700&amp;wHeight=510&amp;intHort=0&amp;imgProID=0&amp;strUserType=Live","Cercis canadensis 'Forest Pansy' CLP")</f>
        <v>Cercis canadensis 'Forest Pansy' CLP</v>
      </c>
      <c r="B419" s="32" t="s">
        <v>89</v>
      </c>
      <c r="C419" s="32"/>
      <c r="D419" s="33">
        <v>171</v>
      </c>
      <c r="E419" s="34"/>
      <c r="F419" s="35">
        <v>1</v>
      </c>
      <c r="G419" s="32">
        <v>0</v>
      </c>
      <c r="H419" s="37">
        <v>0</v>
      </c>
      <c r="I419" s="38">
        <f t="shared" si="14"/>
        <v>0</v>
      </c>
    </row>
    <row r="420" spans="1:9" ht="10.199999999999999" customHeight="1" x14ac:dyDescent="0.3">
      <c r="A420" s="32" t="str">
        <f>HYPERLINK("http://avail.sbinursery.com/LiveInventoryDetail.aspx?CustomerID=954&amp;intItemKey=141&amp;ProductID=CERCPAN12BB&amp;wWidth=700&amp;wHeight=510&amp;intHort=0&amp;imgProID=0&amp;strUserType=Live","Cercis canadensis 'Forest Pansy'")</f>
        <v>Cercis canadensis 'Forest Pansy'</v>
      </c>
      <c r="B420" s="32" t="s">
        <v>72</v>
      </c>
      <c r="C420" s="32"/>
      <c r="D420" s="33">
        <v>136</v>
      </c>
      <c r="E420" s="34"/>
      <c r="F420" s="35">
        <v>1</v>
      </c>
      <c r="G420" s="32">
        <v>0</v>
      </c>
      <c r="H420" s="37">
        <v>0</v>
      </c>
      <c r="I420" s="38">
        <f t="shared" si="14"/>
        <v>0</v>
      </c>
    </row>
    <row r="421" spans="1:9" ht="10.199999999999999" customHeight="1" x14ac:dyDescent="0.3">
      <c r="A421" s="32" t="str">
        <f>HYPERLINK("http://avail.sbinursery.com/LiveInventoryDetail.aspx?CustomerID=954&amp;intItemKey=141&amp;ProductID=CERCPAN25BB&amp;wWidth=700&amp;wHeight=510&amp;intHort=0&amp;imgProID=CERCPAN25BB&amp;strUserType=Live","Cercis canadensis 'Forest Pansy'")</f>
        <v>Cercis canadensis 'Forest Pansy'</v>
      </c>
      <c r="B421" s="32" t="s">
        <v>44</v>
      </c>
      <c r="C421" s="32"/>
      <c r="D421" s="33">
        <v>262</v>
      </c>
      <c r="E421" s="34"/>
      <c r="F421" s="35">
        <v>1</v>
      </c>
      <c r="G421" s="32">
        <v>0</v>
      </c>
      <c r="H421" s="37">
        <v>0</v>
      </c>
      <c r="I421" s="38">
        <f t="shared" si="14"/>
        <v>0</v>
      </c>
    </row>
    <row r="422" spans="1:9" ht="10.199999999999999" customHeight="1" x14ac:dyDescent="0.3">
      <c r="A422" s="32" t="str">
        <f>HYPERLINK("http://avail.sbinursery.com/LiveInventoryDetail.aspx?CustomerID=954&amp;intItemKey=1047&amp;ProductID=CERCPAN48BBC&amp;wWidth=700&amp;wHeight=510&amp;intHort=0&amp;imgProID=0&amp;strUserType=Live","Cercis canadensis 'Forest Pansy' CLP")</f>
        <v>Cercis canadensis 'Forest Pansy' CLP</v>
      </c>
      <c r="B422" s="32" t="s">
        <v>79</v>
      </c>
      <c r="C422" s="32"/>
      <c r="D422" s="33">
        <v>109</v>
      </c>
      <c r="E422" s="34"/>
      <c r="F422" s="35">
        <v>15</v>
      </c>
      <c r="G422" s="32">
        <v>0</v>
      </c>
      <c r="H422" s="37">
        <v>0</v>
      </c>
      <c r="I422" s="38">
        <f t="shared" si="14"/>
        <v>0</v>
      </c>
    </row>
    <row r="423" spans="1:9" ht="10.199999999999999" customHeight="1" x14ac:dyDescent="0.3">
      <c r="A423" s="32" t="str">
        <f>HYPERLINK("http://avail.sbinursery.com/LiveInventoryDetail.aspx?CustomerID=954&amp;intItemKey=1961&amp;ProductID=CERCRNS17BB&amp;wWidth=700&amp;wHeight=510&amp;intHort=0&amp;imgProID=0&amp;strUserType=Live","Cercis canadensis 'JN15' Rise 'N Shine™")</f>
        <v>Cercis canadensis 'JN15' Rise 'N Shine™</v>
      </c>
      <c r="B423" s="32" t="s">
        <v>42</v>
      </c>
      <c r="C423" s="32"/>
      <c r="D423" s="33">
        <v>194</v>
      </c>
      <c r="E423" s="34"/>
      <c r="F423" s="35">
        <v>1</v>
      </c>
      <c r="G423" s="32">
        <v>0</v>
      </c>
      <c r="H423" s="37">
        <v>0</v>
      </c>
      <c r="I423" s="38">
        <f t="shared" si="14"/>
        <v>0</v>
      </c>
    </row>
    <row r="424" spans="1:9" ht="10.199999999999999" customHeight="1" x14ac:dyDescent="0.3">
      <c r="A424" s="32" t="str">
        <f>HYPERLINK("http://avail.sbinursery.com/LiveInventoryDetail.aspx?CustomerID=954&amp;intItemKey=157&amp;ProductID=CLALUTE12BB&amp;wWidth=700&amp;wHeight=510&amp;intHort=0&amp;imgProID=0&amp;strUserType=Live","Cladastrus lutea")</f>
        <v>Cladastrus lutea</v>
      </c>
      <c r="B424" s="32" t="s">
        <v>72</v>
      </c>
      <c r="C424" s="32"/>
      <c r="D424" s="33">
        <v>143</v>
      </c>
      <c r="E424" s="34"/>
      <c r="F424" s="35">
        <v>1</v>
      </c>
      <c r="G424" s="32">
        <v>0</v>
      </c>
      <c r="H424" s="37">
        <v>0</v>
      </c>
      <c r="I424" s="38">
        <f t="shared" si="14"/>
        <v>0</v>
      </c>
    </row>
    <row r="425" spans="1:9" ht="10.199999999999999" customHeight="1" x14ac:dyDescent="0.3">
      <c r="A425" s="32" t="str">
        <f>HYPERLINK("http://avail.sbinursery.com/LiveInventoryDetail.aspx?CustomerID=954&amp;intItemKey=175&amp;ProductID=CORKGAL05BB&amp;wWidth=700&amp;wHeight=510&amp;intHort=0&amp;imgProID=CORKGAL05BB&amp;strUserType=Live","Cornus k. c. 'Galzam' Galilean®")</f>
        <v>Cornus k. c. 'Galzam' Galilean®</v>
      </c>
      <c r="B425" s="32" t="s">
        <v>60</v>
      </c>
      <c r="C425" s="32"/>
      <c r="D425" s="33">
        <v>131</v>
      </c>
      <c r="E425" s="34"/>
      <c r="F425" s="35">
        <v>16</v>
      </c>
      <c r="G425" s="32">
        <v>0</v>
      </c>
      <c r="H425" s="37">
        <v>0</v>
      </c>
      <c r="I425" s="38">
        <f t="shared" si="14"/>
        <v>0</v>
      </c>
    </row>
    <row r="426" spans="1:9" ht="10.199999999999999" customHeight="1" x14ac:dyDescent="0.3">
      <c r="A426" s="32" t="str">
        <f>HYPERLINK("http://avail.sbinursery.com/LiveInventoryDetail.aspx?CustomerID=954&amp;intItemKey=175&amp;ProductID=CORKGAL06BB&amp;wWidth=700&amp;wHeight=510&amp;intHort=0&amp;imgProID=CORKGAL06BB&amp;strUserType=Live","Cornus k. c. 'Galzam' Galilean®")</f>
        <v>Cornus k. c. 'Galzam' Galilean®</v>
      </c>
      <c r="B426" s="32" t="s">
        <v>62</v>
      </c>
      <c r="C426" s="32"/>
      <c r="D426" s="33">
        <v>145</v>
      </c>
      <c r="E426" s="34"/>
      <c r="F426" s="35">
        <v>3</v>
      </c>
      <c r="G426" s="32">
        <v>0</v>
      </c>
      <c r="H426" s="37">
        <v>0</v>
      </c>
      <c r="I426" s="38">
        <f t="shared" si="14"/>
        <v>0</v>
      </c>
    </row>
    <row r="427" spans="1:9" ht="10.199999999999999" customHeight="1" x14ac:dyDescent="0.3">
      <c r="A427" s="32" t="str">
        <f>HYPERLINK("http://avail.sbinursery.com/LiveInventoryDetail.aspx?CustomerID=954&amp;intItemKey=175&amp;ProductID=CORKGAL07BB&amp;wWidth=700&amp;wHeight=510&amp;intHort=0&amp;imgProID=CORKGAL07BB&amp;strUserType=Live","Cornus k. c. 'Galzam' Galilean®")</f>
        <v>Cornus k. c. 'Galzam' Galilean®</v>
      </c>
      <c r="B427" s="32" t="s">
        <v>65</v>
      </c>
      <c r="C427" s="32"/>
      <c r="D427" s="33">
        <v>174</v>
      </c>
      <c r="E427" s="34"/>
      <c r="F427" s="35">
        <v>1</v>
      </c>
      <c r="G427" s="32">
        <v>0</v>
      </c>
      <c r="H427" s="37">
        <v>0</v>
      </c>
      <c r="I427" s="38">
        <f t="shared" si="14"/>
        <v>0</v>
      </c>
    </row>
    <row r="428" spans="1:9" ht="10.199999999999999" customHeight="1" x14ac:dyDescent="0.3">
      <c r="A428" s="32" t="str">
        <f>HYPERLINK("http://avail.sbinursery.com/LiveInventoryDetail.aspx?CustomerID=954&amp;intItemKey=175&amp;ProductID=CORKGAL48BB&amp;wWidth=700&amp;wHeight=510&amp;intHort=0&amp;imgProID=0&amp;strUserType=Live","Cornus k. c. 'Galzam' Galilean®")</f>
        <v>Cornus k. c. 'Galzam' Galilean®</v>
      </c>
      <c r="B428" s="32" t="s">
        <v>64</v>
      </c>
      <c r="C428" s="32"/>
      <c r="D428" s="33">
        <v>111</v>
      </c>
      <c r="E428" s="34"/>
      <c r="F428" s="35">
        <v>2</v>
      </c>
      <c r="G428" s="32">
        <v>0</v>
      </c>
      <c r="H428" s="37">
        <v>0</v>
      </c>
      <c r="I428" s="38">
        <f t="shared" si="14"/>
        <v>0</v>
      </c>
    </row>
    <row r="429" spans="1:9" ht="10.199999999999999" customHeight="1" x14ac:dyDescent="0.3">
      <c r="A429" s="32" t="str">
        <f>HYPERLINK("http://avail.sbinursery.com/LiveInventoryDetail.aspx?CustomerID=954&amp;intItemKey=184&amp;ProductID=CORKOUS04BBC&amp;wWidth=700&amp;wHeight=510&amp;intHort=0&amp;imgProID=CORKOUS04BBC&amp;strUserType=Live","Cornus kousa CLP")</f>
        <v>Cornus kousa CLP</v>
      </c>
      <c r="B429" s="32" t="s">
        <v>79</v>
      </c>
      <c r="C429" s="32"/>
      <c r="D429" s="33">
        <v>109</v>
      </c>
      <c r="E429" s="34"/>
      <c r="F429" s="35">
        <v>2</v>
      </c>
      <c r="G429" s="32">
        <v>0</v>
      </c>
      <c r="H429" s="37">
        <v>0</v>
      </c>
      <c r="I429" s="38">
        <f t="shared" si="14"/>
        <v>0</v>
      </c>
    </row>
    <row r="430" spans="1:9" ht="10.199999999999999" customHeight="1" x14ac:dyDescent="0.3">
      <c r="A430" s="32" t="str">
        <f>HYPERLINK("http://avail.sbinursery.com/LiveInventoryDetail.aspx?CustomerID=954&amp;intItemKey=184&amp;ProductID=CORKOUS05BBC&amp;wWidth=700&amp;wHeight=510&amp;intHort=0&amp;imgProID=CORKOUS05BBC&amp;strUserType=Live","Cornus kousa CLP")</f>
        <v>Cornus kousa CLP</v>
      </c>
      <c r="B430" s="32" t="s">
        <v>80</v>
      </c>
      <c r="C430" s="32"/>
      <c r="D430" s="33">
        <v>128</v>
      </c>
      <c r="E430" s="34"/>
      <c r="F430" s="35">
        <v>11</v>
      </c>
      <c r="G430" s="32">
        <v>0</v>
      </c>
      <c r="H430" s="37">
        <v>0</v>
      </c>
      <c r="I430" s="38">
        <f t="shared" si="14"/>
        <v>0</v>
      </c>
    </row>
    <row r="431" spans="1:9" ht="10.199999999999999" customHeight="1" x14ac:dyDescent="0.3">
      <c r="A431" s="32" t="str">
        <f>HYPERLINK("http://avail.sbinursery.com/LiveInventoryDetail.aspx?CustomerID=954&amp;intItemKey=184&amp;ProductID=CORKOUS06BBC&amp;wWidth=700&amp;wHeight=510&amp;intHort=0&amp;imgProID=CORKOUS06BBC&amp;strUserType=Live","Cornus kousa CLP")</f>
        <v>Cornus kousa CLP</v>
      </c>
      <c r="B431" s="32" t="s">
        <v>88</v>
      </c>
      <c r="C431" s="32"/>
      <c r="D431" s="33">
        <v>142</v>
      </c>
      <c r="E431" s="34"/>
      <c r="F431" s="35">
        <v>5</v>
      </c>
      <c r="G431" s="32">
        <v>0</v>
      </c>
      <c r="H431" s="37">
        <v>0</v>
      </c>
      <c r="I431" s="38">
        <f t="shared" si="14"/>
        <v>0</v>
      </c>
    </row>
    <row r="432" spans="1:9" ht="10.199999999999999" customHeight="1" x14ac:dyDescent="0.3">
      <c r="A432" s="32" t="str">
        <f>HYPERLINK("http://avail.sbinursery.com/LiveInventoryDetail.aspx?CustomerID=954&amp;intItemKey=184&amp;ProductID=CORKOUS07BBC&amp;wWidth=700&amp;wHeight=510&amp;intHort=0&amp;imgProID=CORKOUS07BBC&amp;strUserType=Live","Cornus kousa CLP")</f>
        <v>Cornus kousa CLP</v>
      </c>
      <c r="B432" s="32" t="s">
        <v>89</v>
      </c>
      <c r="C432" s="32"/>
      <c r="D432" s="33">
        <v>171</v>
      </c>
      <c r="E432" s="34"/>
      <c r="F432" s="35">
        <v>3</v>
      </c>
      <c r="G432" s="32">
        <v>0</v>
      </c>
      <c r="H432" s="37">
        <v>0</v>
      </c>
      <c r="I432" s="38">
        <f t="shared" ref="I432:I472" si="15">PRODUCT(D432,H432)</f>
        <v>0</v>
      </c>
    </row>
    <row r="433" spans="1:9" ht="10.199999999999999" customHeight="1" x14ac:dyDescent="0.3">
      <c r="A433" s="32" t="str">
        <f>HYPERLINK("http://avail.sbinursery.com/LiveInventoryDetail.aspx?CustomerID=954&amp;intItemKey=814&amp;ProductID=CORKOUS48BB&amp;wWidth=700&amp;wHeight=510&amp;intHort=0&amp;imgProID=0&amp;strUserType=Live","Cornus kousa")</f>
        <v>Cornus kousa</v>
      </c>
      <c r="B433" s="32" t="s">
        <v>64</v>
      </c>
      <c r="C433" s="32"/>
      <c r="D433" s="33">
        <v>111</v>
      </c>
      <c r="E433" s="34"/>
      <c r="F433" s="35">
        <v>7</v>
      </c>
      <c r="G433" s="32">
        <v>0</v>
      </c>
      <c r="H433" s="37">
        <v>0</v>
      </c>
      <c r="I433" s="38">
        <f t="shared" si="15"/>
        <v>0</v>
      </c>
    </row>
    <row r="434" spans="1:9" ht="10.199999999999999" customHeight="1" x14ac:dyDescent="0.3">
      <c r="A434" s="32" t="str">
        <f>HYPERLINK("http://avail.sbinursery.com/LiveInventoryDetail.aspx?CustomerID=954&amp;intItemKey=179&amp;ProductID=CORKSAM05BB&amp;wWidth=700&amp;wHeight=510&amp;intHort=0&amp;imgProID=CORKSAM05BB&amp;strUserType=Live","Cornus k. c. 'Samzam' Samaritan®")</f>
        <v>Cornus k. c. 'Samzam' Samaritan®</v>
      </c>
      <c r="B434" s="32" t="s">
        <v>60</v>
      </c>
      <c r="C434" s="32"/>
      <c r="D434" s="33">
        <v>131</v>
      </c>
      <c r="E434" s="34"/>
      <c r="F434" s="35">
        <v>1</v>
      </c>
      <c r="G434" s="32">
        <v>0</v>
      </c>
      <c r="H434" s="37">
        <v>0</v>
      </c>
      <c r="I434" s="38">
        <f t="shared" si="15"/>
        <v>0</v>
      </c>
    </row>
    <row r="435" spans="1:9" ht="10.199999999999999" customHeight="1" x14ac:dyDescent="0.3">
      <c r="A435" s="32" t="str">
        <f>HYPERLINK("http://avail.sbinursery.com/LiveInventoryDetail.aspx?CustomerID=954&amp;intItemKey=179&amp;ProductID=CORKSAM06BB&amp;wWidth=700&amp;wHeight=510&amp;intHort=0&amp;imgProID=CORKSAM06BB&amp;strUserType=Live","Cornus k. c. 'Samzam' Samaritan®")</f>
        <v>Cornus k. c. 'Samzam' Samaritan®</v>
      </c>
      <c r="B435" s="32" t="s">
        <v>62</v>
      </c>
      <c r="C435" s="32"/>
      <c r="D435" s="33">
        <v>145</v>
      </c>
      <c r="E435" s="34"/>
      <c r="F435" s="35">
        <v>1</v>
      </c>
      <c r="G435" s="32">
        <v>0</v>
      </c>
      <c r="H435" s="37">
        <v>0</v>
      </c>
      <c r="I435" s="38">
        <f t="shared" si="15"/>
        <v>0</v>
      </c>
    </row>
    <row r="436" spans="1:9" ht="10.199999999999999" customHeight="1" x14ac:dyDescent="0.3">
      <c r="A436" s="32" t="str">
        <f>HYPERLINK("http://avail.sbinursery.com/LiveInventoryDetail.aspx?CustomerID=954&amp;intItemKey=179&amp;ProductID=CORKSAM15BB&amp;wWidth=700&amp;wHeight=510&amp;intHort=0&amp;imgProID=CORKSAM15BB&amp;strUserType=Live","Cornus k. c. 'Samzam' Samaritan®")</f>
        <v>Cornus k. c. 'Samzam' Samaritan®</v>
      </c>
      <c r="B436" s="32" t="s">
        <v>73</v>
      </c>
      <c r="C436" s="32"/>
      <c r="D436" s="33">
        <v>157</v>
      </c>
      <c r="E436" s="34"/>
      <c r="F436" s="35">
        <v>1</v>
      </c>
      <c r="G436" s="32">
        <v>0</v>
      </c>
      <c r="H436" s="37">
        <v>0</v>
      </c>
      <c r="I436" s="38">
        <f t="shared" si="15"/>
        <v>0</v>
      </c>
    </row>
    <row r="437" spans="1:9" ht="10.199999999999999" customHeight="1" x14ac:dyDescent="0.3">
      <c r="A437" s="32" t="str">
        <f>HYPERLINK("http://avail.sbinursery.com/LiveInventoryDetail.aspx?CustomerID=954&amp;intItemKey=179&amp;ProductID=CORKSAM48BB&amp;wWidth=700&amp;wHeight=510&amp;intHort=0&amp;imgProID=0&amp;strUserType=Live","Cornus k. c. 'Samzam' Samaritan®")</f>
        <v>Cornus k. c. 'Samzam' Samaritan®</v>
      </c>
      <c r="B437" s="32" t="s">
        <v>64</v>
      </c>
      <c r="C437" s="32"/>
      <c r="D437" s="33">
        <v>111</v>
      </c>
      <c r="E437" s="34"/>
      <c r="F437" s="35">
        <v>3</v>
      </c>
      <c r="G437" s="32">
        <v>0</v>
      </c>
      <c r="H437" s="37">
        <v>0</v>
      </c>
      <c r="I437" s="38">
        <f t="shared" si="15"/>
        <v>0</v>
      </c>
    </row>
    <row r="438" spans="1:9" ht="10.199999999999999" customHeight="1" x14ac:dyDescent="0.3">
      <c r="A438" s="32" t="str">
        <f>HYPERLINK("http://avail.sbinursery.com/LiveInventoryDetail.aspx?CustomerID=954&amp;intItemKey=1073&amp;ProductID=CORSFLO05BBI&amp;wWidth=700&amp;wHeight=510&amp;intHort=0&amp;imgProID=0&amp;strUserType=Live","Cornus florida")</f>
        <v>Cornus florida</v>
      </c>
      <c r="B438" s="32" t="s">
        <v>61</v>
      </c>
      <c r="C438" s="32"/>
      <c r="D438" s="33">
        <v>84</v>
      </c>
      <c r="E438" s="34"/>
      <c r="F438" s="35">
        <v>2</v>
      </c>
      <c r="G438" s="32">
        <v>0</v>
      </c>
      <c r="H438" s="37">
        <v>0</v>
      </c>
      <c r="I438" s="38">
        <f t="shared" si="15"/>
        <v>0</v>
      </c>
    </row>
    <row r="439" spans="1:9" ht="10.199999999999999" customHeight="1" x14ac:dyDescent="0.3">
      <c r="A439" s="32" t="str">
        <f>HYPERLINK("http://avail.sbinursery.com/LiveInventoryDetail.aspx?CustomerID=954&amp;intItemKey=819&amp;ProductID=CRAICRU12BB&amp;wWidth=700&amp;wHeight=510&amp;intHort=0&amp;imgProID=CRAICRU12BB&amp;strUserType=Live","Crataegus c. g. i. 'Cruzam' Crusader®")</f>
        <v>Crataegus c. g. i. 'Cruzam' Crusader®</v>
      </c>
      <c r="B439" s="32" t="s">
        <v>72</v>
      </c>
      <c r="C439" s="32"/>
      <c r="D439" s="33">
        <v>139</v>
      </c>
      <c r="E439" s="34"/>
      <c r="F439" s="35">
        <v>1</v>
      </c>
      <c r="G439" s="32">
        <v>0</v>
      </c>
      <c r="H439" s="37">
        <v>0</v>
      </c>
      <c r="I439" s="38">
        <f t="shared" si="15"/>
        <v>0</v>
      </c>
    </row>
    <row r="440" spans="1:9" ht="10.199999999999999" customHeight="1" x14ac:dyDescent="0.3">
      <c r="A440" s="32" t="str">
        <f>HYPERLINK("http://avail.sbinursery.com/LiveInventoryDetail.aspx?CustomerID=954&amp;intItemKey=1418&amp;ProductID=CRAPHAE12BB&amp;wWidth=700&amp;wHeight=510&amp;intHort=0&amp;imgProID=0&amp;strUserType=Live","Crataegus phaenopyrum")</f>
        <v>Crataegus phaenopyrum</v>
      </c>
      <c r="B440" s="32" t="s">
        <v>72</v>
      </c>
      <c r="C440" s="32"/>
      <c r="D440" s="33">
        <v>133</v>
      </c>
      <c r="E440" s="34"/>
      <c r="F440" s="35">
        <v>7</v>
      </c>
      <c r="G440" s="32">
        <v>0</v>
      </c>
      <c r="H440" s="37">
        <v>0</v>
      </c>
      <c r="I440" s="38">
        <f t="shared" si="15"/>
        <v>0</v>
      </c>
    </row>
    <row r="441" spans="1:9" ht="10.199999999999999" customHeight="1" x14ac:dyDescent="0.3">
      <c r="A441" s="32" t="str">
        <f>HYPERLINK("http://avail.sbinursery.com/LiveInventoryDetail.aspx?CustomerID=954&amp;intItemKey=1418&amp;ProductID=CRAPHAE15BB&amp;wWidth=700&amp;wHeight=510&amp;intHort=0&amp;imgProID=CRAPHAE15BB&amp;strUserType=Live","Crataegus phaenopyrum")</f>
        <v>Crataegus phaenopyrum</v>
      </c>
      <c r="B441" s="32" t="s">
        <v>73</v>
      </c>
      <c r="C441" s="32"/>
      <c r="D441" s="33">
        <v>151</v>
      </c>
      <c r="E441" s="34"/>
      <c r="F441" s="35">
        <v>1</v>
      </c>
      <c r="G441" s="32">
        <v>0</v>
      </c>
      <c r="H441" s="37">
        <v>0</v>
      </c>
      <c r="I441" s="38">
        <f t="shared" si="15"/>
        <v>0</v>
      </c>
    </row>
    <row r="442" spans="1:9" ht="10.199999999999999" customHeight="1" x14ac:dyDescent="0.3">
      <c r="A442" s="32" t="str">
        <f>HYPERLINK("http://avail.sbinursery.com/LiveInventoryDetail.aspx?CustomerID=954&amp;intItemKey=821&amp;ProductID=CRAVKIN12BB&amp;wWidth=700&amp;wHeight=510&amp;intHort=0&amp;imgProID=0&amp;strUserType=Live","Crataegus viridis 'Winter King'")</f>
        <v>Crataegus viridis 'Winter King'</v>
      </c>
      <c r="B442" s="32" t="s">
        <v>72</v>
      </c>
      <c r="C442" s="32"/>
      <c r="D442" s="33">
        <v>133</v>
      </c>
      <c r="E442" s="34"/>
      <c r="F442" s="35">
        <v>7</v>
      </c>
      <c r="G442" s="32">
        <v>0</v>
      </c>
      <c r="H442" s="37">
        <v>0</v>
      </c>
      <c r="I442" s="38">
        <f t="shared" si="15"/>
        <v>0</v>
      </c>
    </row>
    <row r="443" spans="1:9" ht="10.199999999999999" customHeight="1" x14ac:dyDescent="0.3">
      <c r="A443" s="32" t="str">
        <f>HYPERLINK("http://avail.sbinursery.com/LiveInventoryDetail.aspx?CustomerID=954&amp;intItemKey=821&amp;ProductID=CRAVKIN15BB&amp;wWidth=700&amp;wHeight=510&amp;intHort=0&amp;imgProID=CRAVKIN15BB&amp;strUserType=Live","Crataegus viridis 'Winter King'")</f>
        <v>Crataegus viridis 'Winter King'</v>
      </c>
      <c r="B443" s="32" t="s">
        <v>73</v>
      </c>
      <c r="C443" s="32"/>
      <c r="D443" s="33">
        <v>151</v>
      </c>
      <c r="E443" s="34"/>
      <c r="F443" s="35">
        <v>2</v>
      </c>
      <c r="G443" s="32">
        <v>0</v>
      </c>
      <c r="H443" s="37">
        <v>0</v>
      </c>
      <c r="I443" s="38">
        <f t="shared" si="15"/>
        <v>0</v>
      </c>
    </row>
    <row r="444" spans="1:9" ht="10.199999999999999" customHeight="1" x14ac:dyDescent="0.3">
      <c r="A444" s="32" t="str">
        <f>HYPERLINK("http://avail.sbinursery.com/LiveInventoryDetail.aspx?CustomerID=954&amp;intItemKey=821&amp;ProductID=CRAVKIN17BB&amp;wWidth=700&amp;wHeight=510&amp;intHort=0&amp;imgProID=CRAVKIN17BB&amp;strUserType=Live","Crataegus viridis 'Winter King'")</f>
        <v>Crataegus viridis 'Winter King'</v>
      </c>
      <c r="B444" s="32" t="s">
        <v>42</v>
      </c>
      <c r="C444" s="32"/>
      <c r="D444" s="33">
        <v>178</v>
      </c>
      <c r="E444" s="34"/>
      <c r="F444" s="35">
        <v>4</v>
      </c>
      <c r="G444" s="32">
        <v>0</v>
      </c>
      <c r="H444" s="37">
        <v>0</v>
      </c>
      <c r="I444" s="38">
        <f t="shared" si="15"/>
        <v>0</v>
      </c>
    </row>
    <row r="445" spans="1:9" ht="10.199999999999999" customHeight="1" x14ac:dyDescent="0.3">
      <c r="A445" s="32" t="str">
        <f>HYPERLINK("http://avail.sbinursery.com/LiveInventoryDetail.aspx?CustomerID=954&amp;intItemKey=227&amp;ProductID=EUCULMO12BB&amp;wWidth=700&amp;wHeight=510&amp;intHort=0&amp;imgProID=0&amp;strUserType=Live","Eucommia ulmoides")</f>
        <v>Eucommia ulmoides</v>
      </c>
      <c r="B445" s="32" t="s">
        <v>72</v>
      </c>
      <c r="C445" s="32"/>
      <c r="D445" s="33">
        <v>143</v>
      </c>
      <c r="E445" s="34"/>
      <c r="F445" s="35">
        <v>3</v>
      </c>
      <c r="G445" s="32">
        <v>0</v>
      </c>
      <c r="H445" s="37">
        <v>0</v>
      </c>
      <c r="I445" s="38">
        <f t="shared" si="15"/>
        <v>0</v>
      </c>
    </row>
    <row r="446" spans="1:9" ht="10.199999999999999" customHeight="1" x14ac:dyDescent="0.3">
      <c r="A446" s="32" t="str">
        <f>HYPERLINK("http://avail.sbinursery.com/LiveInventoryDetail.aspx?CustomerID=954&amp;intItemKey=227&amp;ProductID=EUCULMO25BB&amp;wWidth=700&amp;wHeight=510&amp;intHort=0&amp;imgProID=EUCULMO25BB&amp;strUserType=Live","Eucommia ulmoides")</f>
        <v>Eucommia ulmoides</v>
      </c>
      <c r="B446" s="32" t="s">
        <v>44</v>
      </c>
      <c r="C446" s="32"/>
      <c r="D446" s="33">
        <v>275</v>
      </c>
      <c r="E446" s="34"/>
      <c r="F446" s="35">
        <v>1</v>
      </c>
      <c r="G446" s="32">
        <v>0</v>
      </c>
      <c r="H446" s="37">
        <v>0</v>
      </c>
      <c r="I446" s="38">
        <f t="shared" si="15"/>
        <v>0</v>
      </c>
    </row>
    <row r="447" spans="1:9" ht="10.199999999999999" customHeight="1" x14ac:dyDescent="0.3">
      <c r="A447" s="32" t="str">
        <f>HYPERLINK("http://avail.sbinursery.com/LiveInventoryDetail.aspx?CustomerID=954&amp;intItemKey=227&amp;ProductID=EUCULMO35BB&amp;wWidth=700&amp;wHeight=510&amp;intHort=0&amp;imgProID=0&amp;strUserType=Live","Eucommia ulmoides")</f>
        <v>Eucommia ulmoides</v>
      </c>
      <c r="B447" s="32" t="s">
        <v>76</v>
      </c>
      <c r="C447" s="32"/>
      <c r="D447" s="33">
        <v>363</v>
      </c>
      <c r="E447" s="34"/>
      <c r="F447" s="35">
        <v>1</v>
      </c>
      <c r="G447" s="32">
        <v>0</v>
      </c>
      <c r="H447" s="37">
        <v>0</v>
      </c>
      <c r="I447" s="38">
        <f t="shared" si="15"/>
        <v>0</v>
      </c>
    </row>
    <row r="448" spans="1:9" ht="10.199999999999999" customHeight="1" x14ac:dyDescent="0.3">
      <c r="A448" s="32" t="str">
        <f>HYPERLINK("http://avail.sbinursery.com/LiveInventoryDetail.aspx?CustomerID=954&amp;intItemKey=1799&amp;ProductID=GINBAUT05BB&amp;wWidth=700&amp;wHeight=510&amp;intHort=0&amp;imgProID=0&amp;strUserType=Live","Ginkgo biloba 'Autumn Gold'")</f>
        <v>Ginkgo biloba 'Autumn Gold'</v>
      </c>
      <c r="B448" s="32" t="s">
        <v>60</v>
      </c>
      <c r="C448" s="32"/>
      <c r="D448" s="33">
        <v>152</v>
      </c>
      <c r="E448" s="34"/>
      <c r="F448" s="35">
        <v>5</v>
      </c>
      <c r="G448" s="32">
        <v>0</v>
      </c>
      <c r="H448" s="37">
        <v>0</v>
      </c>
      <c r="I448" s="38">
        <f t="shared" si="15"/>
        <v>0</v>
      </c>
    </row>
    <row r="449" spans="1:9" ht="10.199999999999999" customHeight="1" x14ac:dyDescent="0.3">
      <c r="A449" s="32" t="str">
        <f>HYPERLINK("http://avail.sbinursery.com/LiveInventoryDetail.aspx?CustomerID=954&amp;intItemKey=1799&amp;ProductID=GINBAUT07BB&amp;wWidth=700&amp;wHeight=510&amp;intHort=0&amp;imgProID=GINBAUT07BB&amp;strUserType=Live","Ginkgo biloba 'Autumn Gold'")</f>
        <v>Ginkgo biloba 'Autumn Gold'</v>
      </c>
      <c r="B449" s="32" t="s">
        <v>65</v>
      </c>
      <c r="C449" s="32"/>
      <c r="D449" s="33">
        <v>162</v>
      </c>
      <c r="E449" s="34"/>
      <c r="F449" s="35">
        <v>1</v>
      </c>
      <c r="G449" s="32">
        <v>0</v>
      </c>
      <c r="H449" s="37">
        <v>0</v>
      </c>
      <c r="I449" s="38">
        <f t="shared" si="15"/>
        <v>0</v>
      </c>
    </row>
    <row r="450" spans="1:9" ht="10.199999999999999" customHeight="1" x14ac:dyDescent="0.3">
      <c r="A450" s="32" t="str">
        <f>HYPERLINK("http://avail.sbinursery.com/LiveInventoryDetail.aspx?CustomerID=954&amp;intItemKey=267&amp;ProductID=GINBSEN06BB&amp;wWidth=700&amp;wHeight=510&amp;intHort=0&amp;imgProID=GINBSEN06BB&amp;strUserType=Live","Ginkgo biloba 'Princeton Sentry'")</f>
        <v>Ginkgo biloba 'Princeton Sentry'</v>
      </c>
      <c r="B450" s="32" t="s">
        <v>62</v>
      </c>
      <c r="C450" s="32"/>
      <c r="D450" s="33">
        <v>158</v>
      </c>
      <c r="E450" s="34"/>
      <c r="F450" s="35">
        <v>11</v>
      </c>
      <c r="G450" s="32">
        <v>0</v>
      </c>
      <c r="H450" s="37">
        <v>0</v>
      </c>
      <c r="I450" s="38">
        <f t="shared" si="15"/>
        <v>0</v>
      </c>
    </row>
    <row r="451" spans="1:9" ht="10.199999999999999" customHeight="1" x14ac:dyDescent="0.3">
      <c r="A451" s="32" t="str">
        <f>HYPERLINK("http://avail.sbinursery.com/LiveInventoryDetail.aspx?CustomerID=954&amp;intItemKey=267&amp;ProductID=GINBSEN07BB&amp;wWidth=700&amp;wHeight=510&amp;intHort=0&amp;imgProID=GINBSEN07BB&amp;strUserType=Live","Ginkgo biloba 'Princeton Sentry'")</f>
        <v>Ginkgo biloba 'Princeton Sentry'</v>
      </c>
      <c r="B451" s="32" t="s">
        <v>65</v>
      </c>
      <c r="C451" s="32"/>
      <c r="D451" s="33">
        <v>162</v>
      </c>
      <c r="E451" s="34"/>
      <c r="F451" s="35">
        <v>1</v>
      </c>
      <c r="G451" s="32">
        <v>0</v>
      </c>
      <c r="H451" s="37">
        <v>0</v>
      </c>
      <c r="I451" s="38">
        <f t="shared" si="15"/>
        <v>0</v>
      </c>
    </row>
    <row r="452" spans="1:9" ht="10.199999999999999" customHeight="1" x14ac:dyDescent="0.3">
      <c r="A452" s="32" t="str">
        <f>HYPERLINK("http://avail.sbinursery.com/LiveInventoryDetail.aspx?CustomerID=954&amp;intItemKey=1608&amp;ProductID=GLETCOL12BB&amp;wWidth=700&amp;wHeight=510&amp;intHort=0&amp;imgProID=0&amp;strUserType=Live","Gleditsia t. i. cv 'Suncole' Sunburst®")</f>
        <v>Gleditsia t. i. cv 'Suncole' Sunburst®</v>
      </c>
      <c r="B452" s="32" t="s">
        <v>72</v>
      </c>
      <c r="C452" s="32"/>
      <c r="D452" s="33">
        <v>133</v>
      </c>
      <c r="E452" s="34"/>
      <c r="F452" s="35">
        <v>6</v>
      </c>
      <c r="G452" s="32">
        <v>0</v>
      </c>
      <c r="H452" s="37">
        <v>0</v>
      </c>
      <c r="I452" s="38">
        <f t="shared" si="15"/>
        <v>0</v>
      </c>
    </row>
    <row r="453" spans="1:9" ht="10.199999999999999" customHeight="1" x14ac:dyDescent="0.3">
      <c r="A453" s="32" t="str">
        <f>HYPERLINK("http://avail.sbinursery.com/LiveInventoryDetail.aspx?CustomerID=954&amp;intItemKey=1608&amp;ProductID=GLETCOL15BB&amp;wWidth=700&amp;wHeight=510&amp;intHort=0&amp;imgProID=0&amp;strUserType=Live","Gleditsia t. i. cv 'Suncole' Sunburst®")</f>
        <v>Gleditsia t. i. cv 'Suncole' Sunburst®</v>
      </c>
      <c r="B453" s="32" t="s">
        <v>73</v>
      </c>
      <c r="C453" s="32"/>
      <c r="D453" s="33">
        <v>151</v>
      </c>
      <c r="E453" s="34"/>
      <c r="F453" s="35">
        <v>16</v>
      </c>
      <c r="G453" s="32">
        <v>0</v>
      </c>
      <c r="H453" s="37">
        <v>0</v>
      </c>
      <c r="I453" s="38">
        <f t="shared" si="15"/>
        <v>0</v>
      </c>
    </row>
    <row r="454" spans="1:9" ht="10.199999999999999" customHeight="1" x14ac:dyDescent="0.3">
      <c r="A454" s="32" t="str">
        <f>HYPERLINK("http://avail.sbinursery.com/LiveInventoryDetail.aspx?CustomerID=954&amp;intItemKey=1608&amp;ProductID=GLETCOL20BB&amp;wWidth=700&amp;wHeight=510&amp;intHort=0&amp;imgProID=GLETCOL20BB&amp;strUserType=Live","Gleditsia t. i. cv 'Suncole' Sunburst®")</f>
        <v>Gleditsia t. i. cv 'Suncole' Sunburst®</v>
      </c>
      <c r="B454" s="32" t="s">
        <v>43</v>
      </c>
      <c r="C454" s="32"/>
      <c r="D454" s="33">
        <v>197</v>
      </c>
      <c r="E454" s="34"/>
      <c r="F454" s="35">
        <v>2</v>
      </c>
      <c r="G454" s="32">
        <v>0</v>
      </c>
      <c r="H454" s="37">
        <v>0</v>
      </c>
      <c r="I454" s="38">
        <f t="shared" si="15"/>
        <v>0</v>
      </c>
    </row>
    <row r="455" spans="1:9" ht="10.199999999999999" customHeight="1" x14ac:dyDescent="0.3">
      <c r="A455" s="32" t="str">
        <f>HYPERLINK("http://avail.sbinursery.com/LiveInventoryDetail.aspx?CustomerID=954&amp;intItemKey=1608&amp;ProductID=GLETCOL25BB&amp;wWidth=700&amp;wHeight=510&amp;intHort=0&amp;imgProID=GLETCOL25BB&amp;strUserType=Live","Gleditsia t. i. cv 'Suncole' Sunburst®")</f>
        <v>Gleditsia t. i. cv 'Suncole' Sunburst®</v>
      </c>
      <c r="B455" s="32" t="s">
        <v>44</v>
      </c>
      <c r="C455" s="32"/>
      <c r="D455" s="33">
        <v>257</v>
      </c>
      <c r="E455" s="34"/>
      <c r="F455" s="35">
        <v>4</v>
      </c>
      <c r="G455" s="32">
        <v>0</v>
      </c>
      <c r="H455" s="37">
        <v>0</v>
      </c>
      <c r="I455" s="38">
        <f t="shared" si="15"/>
        <v>0</v>
      </c>
    </row>
    <row r="456" spans="1:9" ht="10.199999999999999" customHeight="1" x14ac:dyDescent="0.3">
      <c r="A456" s="32" t="str">
        <f>HYPERLINK("http://avail.sbinursery.com/LiveInventoryDetail.aspx?CustomerID=954&amp;intItemKey=270&amp;ProductID=GLETIMP12BB&amp;wWidth=700&amp;wHeight=510&amp;intHort=0&amp;imgProID=0&amp;strUserType=Live","Gleditsia t. i. cv 'Impcole' Imperial®")</f>
        <v>Gleditsia t. i. cv 'Impcole' Imperial®</v>
      </c>
      <c r="B456" s="32" t="s">
        <v>72</v>
      </c>
      <c r="C456" s="32"/>
      <c r="D456" s="33">
        <v>133</v>
      </c>
      <c r="E456" s="34"/>
      <c r="F456" s="35">
        <v>12</v>
      </c>
      <c r="G456" s="32">
        <v>0</v>
      </c>
      <c r="H456" s="37">
        <v>0</v>
      </c>
      <c r="I456" s="38">
        <f t="shared" si="15"/>
        <v>0</v>
      </c>
    </row>
    <row r="457" spans="1:9" ht="10.199999999999999" customHeight="1" x14ac:dyDescent="0.3">
      <c r="A457" s="32" t="str">
        <f>HYPERLINK("http://avail.sbinursery.com/LiveInventoryDetail.aspx?CustomerID=954&amp;intItemKey=270&amp;ProductID=GLETIMP15BB&amp;wWidth=700&amp;wHeight=510&amp;intHort=0&amp;imgProID=GLETIMP15BB&amp;strUserType=Live","Gleditsia t. i. cv 'Impcole' Imperial®")</f>
        <v>Gleditsia t. i. cv 'Impcole' Imperial®</v>
      </c>
      <c r="B457" s="32" t="s">
        <v>73</v>
      </c>
      <c r="C457" s="32"/>
      <c r="D457" s="33">
        <v>151</v>
      </c>
      <c r="E457" s="34"/>
      <c r="F457" s="35">
        <v>83</v>
      </c>
      <c r="G457" s="32">
        <v>0</v>
      </c>
      <c r="H457" s="37">
        <v>0</v>
      </c>
      <c r="I457" s="38">
        <f t="shared" si="15"/>
        <v>0</v>
      </c>
    </row>
    <row r="458" spans="1:9" ht="10.199999999999999" customHeight="1" x14ac:dyDescent="0.3">
      <c r="A458" s="32" t="str">
        <f>HYPERLINK("http://avail.sbinursery.com/LiveInventoryDetail.aspx?CustomerID=954&amp;intItemKey=270&amp;ProductID=GLETIMP17BB&amp;wWidth=700&amp;wHeight=510&amp;intHort=0&amp;imgProID=GLETIMP17BB&amp;strUserType=Live","Gleditsia t. i. cv 'Impcole' Imperial®")</f>
        <v>Gleditsia t. i. cv 'Impcole' Imperial®</v>
      </c>
      <c r="B458" s="32" t="s">
        <v>42</v>
      </c>
      <c r="C458" s="32"/>
      <c r="D458" s="33">
        <v>178</v>
      </c>
      <c r="E458" s="34"/>
      <c r="F458" s="35">
        <v>4</v>
      </c>
      <c r="G458" s="32">
        <v>0</v>
      </c>
      <c r="H458" s="37">
        <v>0</v>
      </c>
      <c r="I458" s="38">
        <f t="shared" si="15"/>
        <v>0</v>
      </c>
    </row>
    <row r="459" spans="1:9" ht="10.199999999999999" customHeight="1" x14ac:dyDescent="0.3">
      <c r="A459" s="32" t="str">
        <f>HYPERLINK("http://avail.sbinursery.com/LiveInventoryDetail.aspx?CustomerID=954&amp;intItemKey=1727&amp;ProductID=GLETSHA12BB&amp;wWidth=700&amp;wHeight=510&amp;intHort=0&amp;imgProID=0&amp;strUserType=Live","Gleditsia t. v. i.  'Shademaster'")</f>
        <v>Gleditsia t. v. i.  'Shademaster'</v>
      </c>
      <c r="B459" s="32" t="s">
        <v>72</v>
      </c>
      <c r="C459" s="32"/>
      <c r="D459" s="33">
        <v>133</v>
      </c>
      <c r="E459" s="34"/>
      <c r="F459" s="35">
        <v>5</v>
      </c>
      <c r="G459" s="32">
        <v>0</v>
      </c>
      <c r="H459" s="37">
        <v>0</v>
      </c>
      <c r="I459" s="38">
        <f t="shared" si="15"/>
        <v>0</v>
      </c>
    </row>
    <row r="460" spans="1:9" ht="10.199999999999999" customHeight="1" x14ac:dyDescent="0.3">
      <c r="A460" s="32" t="str">
        <f>HYPERLINK("http://avail.sbinursery.com/LiveInventoryDetail.aspx?CustomerID=954&amp;intItemKey=1727&amp;ProductID=GLETSHA15BB&amp;wWidth=700&amp;wHeight=510&amp;intHort=0&amp;imgProID=GLETSHA15BB&amp;strUserType=Live","Gleditsia t. v. i.  'Shademaster'")</f>
        <v>Gleditsia t. v. i.  'Shademaster'</v>
      </c>
      <c r="B460" s="32" t="s">
        <v>73</v>
      </c>
      <c r="C460" s="32"/>
      <c r="D460" s="33">
        <v>151</v>
      </c>
      <c r="E460" s="34"/>
      <c r="F460" s="35">
        <v>106</v>
      </c>
      <c r="G460" s="32">
        <v>0</v>
      </c>
      <c r="H460" s="37">
        <v>0</v>
      </c>
      <c r="I460" s="38">
        <f t="shared" si="15"/>
        <v>0</v>
      </c>
    </row>
    <row r="461" spans="1:9" ht="10.199999999999999" customHeight="1" x14ac:dyDescent="0.3">
      <c r="A461" s="32" t="str">
        <f>HYPERLINK("http://avail.sbinursery.com/LiveInventoryDetail.aspx?CustomerID=954&amp;intItemKey=1727&amp;ProductID=GLETSHA17BB&amp;wWidth=700&amp;wHeight=510&amp;intHort=0&amp;imgProID=GLETSHA17BB&amp;strUserType=Live","Gleditsia t. v. i.  'Shademaster'")</f>
        <v>Gleditsia t. v. i.  'Shademaster'</v>
      </c>
      <c r="B461" s="32" t="s">
        <v>42</v>
      </c>
      <c r="C461" s="32"/>
      <c r="D461" s="33">
        <v>178</v>
      </c>
      <c r="E461" s="34"/>
      <c r="F461" s="35">
        <v>20</v>
      </c>
      <c r="G461" s="32">
        <v>0</v>
      </c>
      <c r="H461" s="37">
        <v>0</v>
      </c>
      <c r="I461" s="38">
        <f t="shared" si="15"/>
        <v>0</v>
      </c>
    </row>
    <row r="462" spans="1:9" ht="10.199999999999999" customHeight="1" x14ac:dyDescent="0.3">
      <c r="A462" s="32" t="str">
        <f>HYPERLINK("http://avail.sbinursery.com/LiveInventoryDetail.aspx?CustomerID=954&amp;intItemKey=1727&amp;ProductID=GLETSHA20BB&amp;wWidth=700&amp;wHeight=510&amp;intHort=0&amp;imgProID=GLETSHA20BB&amp;strUserType=Live","Gleditsia t. v. i.  'Shademaster'")</f>
        <v>Gleditsia t. v. i.  'Shademaster'</v>
      </c>
      <c r="B462" s="32" t="s">
        <v>43</v>
      </c>
      <c r="C462" s="32"/>
      <c r="D462" s="33">
        <v>197</v>
      </c>
      <c r="E462" s="34"/>
      <c r="F462" s="35">
        <v>2</v>
      </c>
      <c r="G462" s="32">
        <v>0</v>
      </c>
      <c r="H462" s="37">
        <v>0</v>
      </c>
      <c r="I462" s="38">
        <f t="shared" si="15"/>
        <v>0</v>
      </c>
    </row>
    <row r="463" spans="1:9" ht="10.199999999999999" customHeight="1" x14ac:dyDescent="0.3">
      <c r="A463" s="32" t="str">
        <f>HYPERLINK("http://avail.sbinursery.com/LiveInventoryDetail.aspx?CustomerID=954&amp;intItemKey=1727&amp;ProductID=GLETSHA30BB&amp;wWidth=700&amp;wHeight=510&amp;intHort=0&amp;imgProID=GLETSHA30BB&amp;strUserType=Live","Gleditsia t. v. i.  'Shademaster'")</f>
        <v>Gleditsia t. v. i.  'Shademaster'</v>
      </c>
      <c r="B463" s="32" t="s">
        <v>75</v>
      </c>
      <c r="C463" s="32"/>
      <c r="D463" s="33">
        <v>295</v>
      </c>
      <c r="E463" s="34"/>
      <c r="F463" s="35">
        <v>2</v>
      </c>
      <c r="G463" s="32">
        <v>0</v>
      </c>
      <c r="H463" s="37">
        <v>0</v>
      </c>
      <c r="I463" s="38">
        <f t="shared" si="15"/>
        <v>0</v>
      </c>
    </row>
    <row r="464" spans="1:9" ht="10.199999999999999" customHeight="1" x14ac:dyDescent="0.3">
      <c r="A464" s="32" t="str">
        <f>HYPERLINK("http://avail.sbinursery.com/LiveInventoryDetail.aspx?CustomerID=954&amp;intItemKey=1727&amp;ProductID=GLETSHA35BB&amp;wWidth=700&amp;wHeight=510&amp;intHort=0&amp;imgProID=0&amp;strUserType=Live","Gleditsia t. v. i.  'Shademaster'")</f>
        <v>Gleditsia t. v. i.  'Shademaster'</v>
      </c>
      <c r="B464" s="32" t="s">
        <v>76</v>
      </c>
      <c r="C464" s="32"/>
      <c r="D464" s="33">
        <v>339</v>
      </c>
      <c r="E464" s="34"/>
      <c r="F464" s="35">
        <v>2</v>
      </c>
      <c r="G464" s="32">
        <v>0</v>
      </c>
      <c r="H464" s="37">
        <v>0</v>
      </c>
      <c r="I464" s="38">
        <f t="shared" si="15"/>
        <v>0</v>
      </c>
    </row>
    <row r="465" spans="1:9" ht="10.199999999999999" customHeight="1" x14ac:dyDescent="0.3">
      <c r="A465" s="32" t="str">
        <f>HYPERLINK("http://avail.sbinursery.com/LiveInventoryDetail.aspx?CustomerID=954&amp;intItemKey=271&amp;ProductID=GLETSKY25BB&amp;wWidth=700&amp;wHeight=510&amp;intHort=0&amp;imgProID=GLETSKY25BB&amp;strUserType=Live","Gleditsia t. i. cv 'Skycole' Skyline®")</f>
        <v>Gleditsia t. i. cv 'Skycole' Skyline®</v>
      </c>
      <c r="B465" s="32" t="s">
        <v>44</v>
      </c>
      <c r="C465" s="32"/>
      <c r="D465" s="33">
        <v>257</v>
      </c>
      <c r="E465" s="34"/>
      <c r="F465" s="35">
        <v>1</v>
      </c>
      <c r="G465" s="32">
        <v>0</v>
      </c>
      <c r="H465" s="37">
        <v>0</v>
      </c>
      <c r="I465" s="38">
        <f t="shared" si="15"/>
        <v>0</v>
      </c>
    </row>
    <row r="466" spans="1:9" ht="10.199999999999999" customHeight="1" x14ac:dyDescent="0.3">
      <c r="A466" s="32" t="str">
        <f>HYPERLINK("http://avail.sbinursery.com/LiveInventoryDetail.aspx?CustomerID=954&amp;intItemKey=271&amp;ProductID=GLETSKY30BB&amp;wWidth=700&amp;wHeight=510&amp;intHort=0&amp;imgProID=0&amp;strUserType=Live","Gleditsia t. i. cv 'Skycole' Skyline®")</f>
        <v>Gleditsia t. i. cv 'Skycole' Skyline®</v>
      </c>
      <c r="B466" s="32" t="s">
        <v>75</v>
      </c>
      <c r="C466" s="32"/>
      <c r="D466" s="33">
        <v>295</v>
      </c>
      <c r="E466" s="34"/>
      <c r="F466" s="35">
        <v>1</v>
      </c>
      <c r="G466" s="32">
        <v>0</v>
      </c>
      <c r="H466" s="37">
        <v>0</v>
      </c>
      <c r="I466" s="38">
        <f t="shared" si="15"/>
        <v>0</v>
      </c>
    </row>
    <row r="467" spans="1:9" ht="10.199999999999999" customHeight="1" x14ac:dyDescent="0.3">
      <c r="A467" s="32" t="str">
        <f>HYPERLINK("http://avail.sbinursery.com/LiveInventoryDetail.aspx?CustomerID=954&amp;intItemKey=271&amp;ProductID=GLETSKY40BB&amp;wWidth=700&amp;wHeight=510&amp;intHort=0&amp;imgProID=0&amp;strUserType=Live","Gleditsia t. i. cv 'Skycole' Skyline®")</f>
        <v>Gleditsia t. i. cv 'Skycole' Skyline®</v>
      </c>
      <c r="B467" s="32" t="s">
        <v>91</v>
      </c>
      <c r="C467" s="32"/>
      <c r="D467" s="33">
        <v>373</v>
      </c>
      <c r="E467" s="34"/>
      <c r="F467" s="35">
        <v>3</v>
      </c>
      <c r="G467" s="32">
        <v>0</v>
      </c>
      <c r="H467" s="37">
        <v>0</v>
      </c>
      <c r="I467" s="38">
        <f t="shared" si="15"/>
        <v>0</v>
      </c>
    </row>
    <row r="468" spans="1:9" ht="10.199999999999999" customHeight="1" x14ac:dyDescent="0.3">
      <c r="A468" s="32" t="str">
        <f>HYPERLINK("http://avail.sbinursery.com/LiveInventoryDetail.aspx?CustomerID=954&amp;intItemKey=271&amp;ProductID=GLETSKY45BB&amp;wWidth=700&amp;wHeight=510&amp;intHort=0&amp;imgProID=0&amp;strUserType=Live","Gleditsia t. i. cv 'Skycole' Skyline®")</f>
        <v>Gleditsia t. i. cv 'Skycole' Skyline®</v>
      </c>
      <c r="B468" s="32" t="s">
        <v>93</v>
      </c>
      <c r="C468" s="32"/>
      <c r="D468" s="33">
        <v>429</v>
      </c>
      <c r="E468" s="34"/>
      <c r="F468" s="35">
        <v>1</v>
      </c>
      <c r="G468" s="32">
        <v>0</v>
      </c>
      <c r="H468" s="37">
        <v>0</v>
      </c>
      <c r="I468" s="38">
        <f t="shared" si="15"/>
        <v>0</v>
      </c>
    </row>
    <row r="469" spans="1:9" ht="10.199999999999999" customHeight="1" x14ac:dyDescent="0.3">
      <c r="A469" s="32" t="str">
        <f>HYPERLINK("http://avail.sbinursery.com/LiveInventoryDetail.aspx?CustomerID=954&amp;intItemKey=1634&amp;ProductID=GLETSTR15BB&amp;wWidth=700&amp;wHeight=510&amp;intHort=0&amp;imgProID=GLETSTR15BB&amp;strUserType=Live","Gleditsia t. v. i. 'Draves' PP21698 CPBR4741 Street Keeper®")</f>
        <v>Gleditsia t. v. i. 'Draves' PP21698 CPBR4741 Street Keeper®</v>
      </c>
      <c r="B469" s="32" t="s">
        <v>73</v>
      </c>
      <c r="C469" s="32"/>
      <c r="D469" s="33">
        <v>151</v>
      </c>
      <c r="E469" s="34"/>
      <c r="F469" s="35">
        <v>6</v>
      </c>
      <c r="G469" s="32">
        <v>0</v>
      </c>
      <c r="H469" s="37">
        <v>0</v>
      </c>
      <c r="I469" s="38">
        <f t="shared" si="15"/>
        <v>0</v>
      </c>
    </row>
    <row r="470" spans="1:9" ht="10.199999999999999" customHeight="1" x14ac:dyDescent="0.3">
      <c r="A470" s="32" t="str">
        <f>HYPERLINK("http://avail.sbinursery.com/LiveInventoryDetail.aspx?CustomerID=954&amp;intItemKey=1634&amp;ProductID=GLETSTR17BB&amp;wWidth=700&amp;wHeight=510&amp;intHort=0&amp;imgProID=GLETSTR17BB&amp;strUserType=Live","Gleditsia t. v. i. 'Draves' PP21698 CPBR4741 Street Keeper®")</f>
        <v>Gleditsia t. v. i. 'Draves' PP21698 CPBR4741 Street Keeper®</v>
      </c>
      <c r="B470" s="32" t="s">
        <v>42</v>
      </c>
      <c r="C470" s="32"/>
      <c r="D470" s="33">
        <v>178</v>
      </c>
      <c r="E470" s="34"/>
      <c r="F470" s="35">
        <v>6</v>
      </c>
      <c r="G470" s="32">
        <v>0</v>
      </c>
      <c r="H470" s="37">
        <v>0</v>
      </c>
      <c r="I470" s="38">
        <f t="shared" si="15"/>
        <v>0</v>
      </c>
    </row>
    <row r="471" spans="1:9" ht="10.199999999999999" customHeight="1" x14ac:dyDescent="0.3">
      <c r="A471" s="32" t="str">
        <f>HYPERLINK("http://avail.sbinursery.com/LiveInventoryDetail.aspx?CustomerID=954&amp;intItemKey=1634&amp;ProductID=GLETSTR20BB&amp;wWidth=700&amp;wHeight=510&amp;intHort=0&amp;imgProID=GLETSTR20BB&amp;strUserType=Live","Gleditsia t. v. i. 'Draves' PP21698 CPBR4741 Street Keeper®")</f>
        <v>Gleditsia t. v. i. 'Draves' PP21698 CPBR4741 Street Keeper®</v>
      </c>
      <c r="B471" s="32" t="s">
        <v>43</v>
      </c>
      <c r="C471" s="32"/>
      <c r="D471" s="33">
        <v>197</v>
      </c>
      <c r="E471" s="34"/>
      <c r="F471" s="35">
        <v>9</v>
      </c>
      <c r="G471" s="32">
        <v>0</v>
      </c>
      <c r="H471" s="37">
        <v>0</v>
      </c>
      <c r="I471" s="38">
        <f t="shared" si="15"/>
        <v>0</v>
      </c>
    </row>
    <row r="472" spans="1:9" ht="10.199999999999999" customHeight="1" x14ac:dyDescent="0.3">
      <c r="A472" s="32" t="str">
        <f>HYPERLINK("http://avail.sbinursery.com/LiveInventoryDetail.aspx?CustomerID=954&amp;intItemKey=1634&amp;ProductID=GLETSTR35BB&amp;wWidth=700&amp;wHeight=510&amp;intHort=0&amp;imgProID=0&amp;strUserType=Live","Gleditsia t. v. i. 'Draves' PP21698 CPBR4741 Street Keeper®")</f>
        <v>Gleditsia t. v. i. 'Draves' PP21698 CPBR4741 Street Keeper®</v>
      </c>
      <c r="B472" s="32" t="s">
        <v>76</v>
      </c>
      <c r="C472" s="32"/>
      <c r="D472" s="33">
        <v>339</v>
      </c>
      <c r="E472" s="34"/>
      <c r="F472" s="35">
        <v>1</v>
      </c>
      <c r="G472" s="32">
        <v>0</v>
      </c>
      <c r="H472" s="37">
        <v>0</v>
      </c>
      <c r="I472" s="38">
        <f t="shared" si="15"/>
        <v>0</v>
      </c>
    </row>
    <row r="473" spans="1:9" ht="10.199999999999999" customHeight="1" x14ac:dyDescent="0.3">
      <c r="A473" s="32" t="str">
        <f>HYPERLINK("http://avail.sbinursery.com/LiveInventoryDetail.aspx?CustomerID=954&amp;intItemKey=408&amp;ProductID=KOEPANI15BB&amp;wWidth=700&amp;wHeight=510&amp;intHort=0&amp;imgProID=KOEPANI15BB&amp;strUserType=Live","Koelreuteria paniculata")</f>
        <v>Koelreuteria paniculata</v>
      </c>
      <c r="B473" s="32" t="s">
        <v>73</v>
      </c>
      <c r="C473" s="32"/>
      <c r="D473" s="33">
        <v>162</v>
      </c>
      <c r="E473" s="34"/>
      <c r="F473" s="35">
        <v>19</v>
      </c>
      <c r="G473" s="32">
        <v>0</v>
      </c>
      <c r="H473" s="37">
        <v>0</v>
      </c>
      <c r="I473" s="38">
        <f t="shared" ref="I473:I507" si="16">PRODUCT(D473,H473)</f>
        <v>0</v>
      </c>
    </row>
    <row r="474" spans="1:9" ht="10.199999999999999" customHeight="1" x14ac:dyDescent="0.3">
      <c r="A474" s="32" t="str">
        <f>HYPERLINK("http://avail.sbinursery.com/LiveInventoryDetail.aspx?CustomerID=954&amp;intItemKey=408&amp;ProductID=KOEPANI17BB&amp;wWidth=700&amp;wHeight=510&amp;intHort=0&amp;imgProID=KOEPANI17BB&amp;strUserType=Live","Koelreuteria paniculata")</f>
        <v>Koelreuteria paniculata</v>
      </c>
      <c r="B474" s="32" t="s">
        <v>42</v>
      </c>
      <c r="C474" s="32"/>
      <c r="D474" s="33">
        <v>190</v>
      </c>
      <c r="E474" s="34"/>
      <c r="F474" s="35">
        <v>13</v>
      </c>
      <c r="G474" s="32">
        <v>0</v>
      </c>
      <c r="H474" s="37">
        <v>0</v>
      </c>
      <c r="I474" s="38">
        <f t="shared" si="16"/>
        <v>0</v>
      </c>
    </row>
    <row r="475" spans="1:9" ht="10.199999999999999" customHeight="1" x14ac:dyDescent="0.3">
      <c r="A475" s="32" t="str">
        <f>HYPERLINK("http://avail.sbinursery.com/LiveInventoryDetail.aspx?CustomerID=954&amp;intItemKey=408&amp;ProductID=KOEPANI20BB&amp;wWidth=700&amp;wHeight=510&amp;intHort=0&amp;imgProID=KOEPANI20BB&amp;strUserType=Live","Koelreuteria paniculata")</f>
        <v>Koelreuteria paniculata</v>
      </c>
      <c r="B475" s="32" t="s">
        <v>43</v>
      </c>
      <c r="C475" s="32"/>
      <c r="D475" s="33">
        <v>211</v>
      </c>
      <c r="E475" s="34"/>
      <c r="F475" s="35">
        <v>22</v>
      </c>
      <c r="G475" s="32">
        <v>0</v>
      </c>
      <c r="H475" s="37">
        <v>0</v>
      </c>
      <c r="I475" s="38">
        <f t="shared" si="16"/>
        <v>0</v>
      </c>
    </row>
    <row r="476" spans="1:9" ht="10.199999999999999" customHeight="1" x14ac:dyDescent="0.3">
      <c r="A476" s="32" t="str">
        <f>HYPERLINK("http://avail.sbinursery.com/LiveInventoryDetail.aspx?CustomerID=954&amp;intItemKey=408&amp;ProductID=KOEPANI25BB&amp;wWidth=700&amp;wHeight=510&amp;intHort=0&amp;imgProID=KOEPANI25BB&amp;strUserType=Live","Koelreuteria paniculata")</f>
        <v>Koelreuteria paniculata</v>
      </c>
      <c r="B476" s="32" t="s">
        <v>44</v>
      </c>
      <c r="C476" s="32"/>
      <c r="D476" s="33">
        <v>275</v>
      </c>
      <c r="E476" s="34"/>
      <c r="F476" s="35">
        <v>2</v>
      </c>
      <c r="G476" s="32">
        <v>0</v>
      </c>
      <c r="H476" s="37">
        <v>0</v>
      </c>
      <c r="I476" s="38">
        <f t="shared" si="16"/>
        <v>0</v>
      </c>
    </row>
    <row r="477" spans="1:9" ht="10.199999999999999" customHeight="1" x14ac:dyDescent="0.3">
      <c r="A477" s="32" t="str">
        <f>HYPERLINK("http://avail.sbinursery.com/LiveInventoryDetail.aspx?CustomerID=954&amp;intItemKey=408&amp;ProductID=KOEPANI30BB&amp;wWidth=700&amp;wHeight=510&amp;intHort=0&amp;imgProID=0&amp;strUserType=Live","Koelreuteria paniculata")</f>
        <v>Koelreuteria paniculata</v>
      </c>
      <c r="B477" s="32" t="s">
        <v>75</v>
      </c>
      <c r="C477" s="32"/>
      <c r="D477" s="33">
        <v>316</v>
      </c>
      <c r="E477" s="34"/>
      <c r="F477" s="35">
        <v>3</v>
      </c>
      <c r="G477" s="32">
        <v>0</v>
      </c>
      <c r="H477" s="37">
        <v>0</v>
      </c>
      <c r="I477" s="38">
        <f t="shared" si="16"/>
        <v>0</v>
      </c>
    </row>
    <row r="478" spans="1:9" ht="10.199999999999999" customHeight="1" x14ac:dyDescent="0.3">
      <c r="A478" s="32" t="str">
        <f>HYPERLINK("http://avail.sbinursery.com/LiveInventoryDetail.aspx?CustomerID=954&amp;intItemKey=408&amp;ProductID=KOEPANI35BB&amp;wWidth=700&amp;wHeight=510&amp;intHort=0&amp;imgProID=KOEPANI35BB&amp;strUserType=Live","Koelreuteria paniculata")</f>
        <v>Koelreuteria paniculata</v>
      </c>
      <c r="B478" s="32" t="s">
        <v>76</v>
      </c>
      <c r="C478" s="32"/>
      <c r="D478" s="33">
        <v>363</v>
      </c>
      <c r="E478" s="34"/>
      <c r="F478" s="35">
        <v>1</v>
      </c>
      <c r="G478" s="32">
        <v>0</v>
      </c>
      <c r="H478" s="37">
        <v>0</v>
      </c>
      <c r="I478" s="38">
        <f t="shared" si="16"/>
        <v>0</v>
      </c>
    </row>
    <row r="479" spans="1:9" ht="10.199999999999999" customHeight="1" x14ac:dyDescent="0.3">
      <c r="A479" s="32" t="str">
        <f>HYPERLINK("http://avail.sbinursery.com/LiveInventoryDetail.aspx?CustomerID=954&amp;intItemKey=431&amp;ProductID=LIQSSLS15BB&amp;wWidth=700&amp;wHeight=510&amp;intHort=0&amp;imgProID=LIQSSLS15BB&amp;strUserType=Live","Liquidambar styraciflua 'Slender Silhouette'")</f>
        <v>Liquidambar styraciflua 'Slender Silhouette'</v>
      </c>
      <c r="B479" s="32" t="s">
        <v>73</v>
      </c>
      <c r="C479" s="32"/>
      <c r="D479" s="33">
        <v>157</v>
      </c>
      <c r="E479" s="34"/>
      <c r="F479" s="35">
        <v>23</v>
      </c>
      <c r="G479" s="32">
        <v>0</v>
      </c>
      <c r="H479" s="37">
        <v>0</v>
      </c>
      <c r="I479" s="38">
        <f t="shared" si="16"/>
        <v>0</v>
      </c>
    </row>
    <row r="480" spans="1:9" ht="10.199999999999999" customHeight="1" x14ac:dyDescent="0.3">
      <c r="A480" s="32" t="str">
        <f>HYPERLINK("http://avail.sbinursery.com/LiveInventoryDetail.aspx?CustomerID=954&amp;intItemKey=431&amp;ProductID=LIQSSLS20BB&amp;wWidth=700&amp;wHeight=510&amp;intHort=0&amp;imgProID=LIQSSLS20BB&amp;strUserType=Live","Liquidambar styraciflua 'Slender Silhouette'")</f>
        <v>Liquidambar styraciflua 'Slender Silhouette'</v>
      </c>
      <c r="B480" s="32" t="s">
        <v>43</v>
      </c>
      <c r="C480" s="32"/>
      <c r="D480" s="33">
        <v>205</v>
      </c>
      <c r="E480" s="34"/>
      <c r="F480" s="35">
        <v>12</v>
      </c>
      <c r="G480" s="32">
        <v>0</v>
      </c>
      <c r="H480" s="37">
        <v>0</v>
      </c>
      <c r="I480" s="38">
        <f t="shared" si="16"/>
        <v>0</v>
      </c>
    </row>
    <row r="481" spans="1:9" ht="10.199999999999999" customHeight="1" x14ac:dyDescent="0.3">
      <c r="A481" s="32" t="str">
        <f>HYPERLINK("http://avail.sbinursery.com/LiveInventoryDetail.aspx?CustomerID=954&amp;intItemKey=431&amp;ProductID=LIQSSLS25BB&amp;wWidth=700&amp;wHeight=510&amp;intHort=0&amp;imgProID=LIQSSLS25BB&amp;strUserType=Live","Liquidambar styraciflua 'Slender Silhouette'")</f>
        <v>Liquidambar styraciflua 'Slender Silhouette'</v>
      </c>
      <c r="B481" s="32" t="s">
        <v>44</v>
      </c>
      <c r="C481" s="32"/>
      <c r="D481" s="33">
        <v>267</v>
      </c>
      <c r="E481" s="34"/>
      <c r="F481" s="35">
        <v>3</v>
      </c>
      <c r="G481" s="32">
        <v>0</v>
      </c>
      <c r="H481" s="37">
        <v>0</v>
      </c>
      <c r="I481" s="38">
        <f t="shared" si="16"/>
        <v>0</v>
      </c>
    </row>
    <row r="482" spans="1:9" ht="10.199999999999999" customHeight="1" x14ac:dyDescent="0.3">
      <c r="A482" s="32" t="str">
        <f>HYPERLINK("http://avail.sbinursery.com/LiveInventoryDetail.aspx?CustomerID=954&amp;intItemKey=432&amp;ProductID=LIRTULI30BB&amp;wWidth=700&amp;wHeight=510&amp;intHort=0&amp;imgProID=LIRTULI30BB&amp;strUserType=Live","Liriodendron tulipifera")</f>
        <v>Liriodendron tulipifera</v>
      </c>
      <c r="B482" s="32" t="s">
        <v>75</v>
      </c>
      <c r="C482" s="32"/>
      <c r="D482" s="33">
        <v>307</v>
      </c>
      <c r="E482" s="34"/>
      <c r="F482" s="35">
        <v>1</v>
      </c>
      <c r="G482" s="32">
        <v>0</v>
      </c>
      <c r="H482" s="37">
        <v>0</v>
      </c>
      <c r="I482" s="38">
        <f t="shared" si="16"/>
        <v>0</v>
      </c>
    </row>
    <row r="483" spans="1:9" ht="10.199999999999999" customHeight="1" x14ac:dyDescent="0.3">
      <c r="A483" s="32" t="str">
        <f>HYPERLINK("http://avail.sbinursery.com/LiveInventoryDetail.aspx?CustomerID=954&amp;intItemKey=1208&amp;ProductID=MAGXJAN36BB&amp;wWidth=700&amp;wHeight=510&amp;intHort=0&amp;imgProID=0&amp;strUserType=Live","Magnolia x 'Jane'")</f>
        <v>Magnolia x 'Jane'</v>
      </c>
      <c r="B483" s="32" t="s">
        <v>63</v>
      </c>
      <c r="C483" s="32"/>
      <c r="D483" s="33">
        <v>76</v>
      </c>
      <c r="E483" s="34"/>
      <c r="F483" s="35">
        <v>1</v>
      </c>
      <c r="G483" s="32">
        <v>0</v>
      </c>
      <c r="H483" s="37">
        <v>0</v>
      </c>
      <c r="I483" s="38">
        <f t="shared" si="16"/>
        <v>0</v>
      </c>
    </row>
    <row r="484" spans="1:9" ht="10.199999999999999" customHeight="1" x14ac:dyDescent="0.3">
      <c r="A484" s="32" t="str">
        <f>HYPERLINK("http://avail.sbinursery.com/LiveInventoryDetail.aspx?CustomerID=954&amp;intItemKey=1208&amp;ProductID=MAGXJAN48BBI&amp;wWidth=700&amp;wHeight=510&amp;intHort=0&amp;imgProID=0&amp;strUserType=Live","Magnolia x 'Jane'")</f>
        <v>Magnolia x 'Jane'</v>
      </c>
      <c r="B484" s="32" t="s">
        <v>59</v>
      </c>
      <c r="C484" s="32"/>
      <c r="D484" s="33">
        <v>109.5</v>
      </c>
      <c r="E484" s="34"/>
      <c r="F484" s="35">
        <v>1</v>
      </c>
      <c r="G484" s="32">
        <v>0</v>
      </c>
      <c r="H484" s="37">
        <v>0</v>
      </c>
      <c r="I484" s="38">
        <f t="shared" si="16"/>
        <v>0</v>
      </c>
    </row>
    <row r="485" spans="1:9" ht="10.199999999999999" customHeight="1" x14ac:dyDescent="0.3">
      <c r="A485" s="32" t="str">
        <f>HYPERLINK("http://avail.sbinursery.com/LiveInventoryDetail.aspx?CustomerID=954&amp;intItemKey=912&amp;ProductID=MALDWYM12BB&amp;wWidth=700&amp;wHeight=510&amp;intHort=0&amp;imgProID=0&amp;strUserType=Live","Malus 'Donald Wyman'")</f>
        <v>Malus 'Donald Wyman'</v>
      </c>
      <c r="B485" s="32" t="s">
        <v>72</v>
      </c>
      <c r="C485" s="32"/>
      <c r="D485" s="33">
        <v>126</v>
      </c>
      <c r="E485" s="34"/>
      <c r="F485" s="35">
        <v>3</v>
      </c>
      <c r="G485" s="32">
        <v>0</v>
      </c>
      <c r="H485" s="37">
        <v>0</v>
      </c>
      <c r="I485" s="38">
        <f t="shared" si="16"/>
        <v>0</v>
      </c>
    </row>
    <row r="486" spans="1:9" ht="10.199999999999999" customHeight="1" x14ac:dyDescent="0.3">
      <c r="A486" s="32" t="str">
        <f>HYPERLINK("http://avail.sbinursery.com/LiveInventoryDetail.aspx?CustomerID=954&amp;intItemKey=912&amp;ProductID=MALDWYM15BB&amp;wWidth=700&amp;wHeight=510&amp;intHort=0&amp;imgProID=MALDWYM15BB&amp;strUserType=Live","Malus 'Donald Wyman'")</f>
        <v>Malus 'Donald Wyman'</v>
      </c>
      <c r="B486" s="32" t="s">
        <v>73</v>
      </c>
      <c r="C486" s="32"/>
      <c r="D486" s="33">
        <v>144</v>
      </c>
      <c r="E486" s="34"/>
      <c r="F486" s="35">
        <v>13</v>
      </c>
      <c r="G486" s="32">
        <v>0</v>
      </c>
      <c r="H486" s="37">
        <v>0</v>
      </c>
      <c r="I486" s="38">
        <f t="shared" si="16"/>
        <v>0</v>
      </c>
    </row>
    <row r="487" spans="1:9" ht="10.199999999999999" customHeight="1" x14ac:dyDescent="0.3">
      <c r="A487" s="32" t="str">
        <f>HYPERLINK("http://avail.sbinursery.com/LiveInventoryDetail.aspx?CustomerID=954&amp;intItemKey=912&amp;ProductID=MALDWYM25BB&amp;wWidth=700&amp;wHeight=510&amp;intHort=0&amp;imgProID=0&amp;strUserType=Live","Malus 'Donald Wyman'")</f>
        <v>Malus 'Donald Wyman'</v>
      </c>
      <c r="B487" s="32" t="s">
        <v>44</v>
      </c>
      <c r="C487" s="32"/>
      <c r="D487" s="33">
        <v>244</v>
      </c>
      <c r="E487" s="34"/>
      <c r="F487" s="35">
        <v>1</v>
      </c>
      <c r="G487" s="32">
        <v>0</v>
      </c>
      <c r="H487" s="37">
        <v>0</v>
      </c>
      <c r="I487" s="38">
        <f t="shared" si="16"/>
        <v>0</v>
      </c>
    </row>
    <row r="488" spans="1:9" ht="10.199999999999999" customHeight="1" x14ac:dyDescent="0.3">
      <c r="A488" s="32" t="str">
        <f>HYPERLINK("http://avail.sbinursery.com/LiveInventoryDetail.aspx?CustomerID=954&amp;intItemKey=457&amp;ProductID=MALHGOL15BB&amp;wWidth=700&amp;wHeight=510&amp;intHort=0&amp;imgProID=MALHGOL15BB&amp;strUserType=Live","Malus 'Hargozam' Harvest Gold®")</f>
        <v>Malus 'Hargozam' Harvest Gold®</v>
      </c>
      <c r="B488" s="32" t="s">
        <v>73</v>
      </c>
      <c r="C488" s="32"/>
      <c r="D488" s="33">
        <v>144</v>
      </c>
      <c r="E488" s="34"/>
      <c r="F488" s="35">
        <v>18</v>
      </c>
      <c r="G488" s="32">
        <v>0</v>
      </c>
      <c r="H488" s="37">
        <v>0</v>
      </c>
      <c r="I488" s="38">
        <f t="shared" si="16"/>
        <v>0</v>
      </c>
    </row>
    <row r="489" spans="1:9" ht="10.199999999999999" customHeight="1" x14ac:dyDescent="0.3">
      <c r="A489" s="32" t="str">
        <f>HYPERLINK("http://avail.sbinursery.com/LiveInventoryDetail.aspx?CustomerID=954&amp;intItemKey=457&amp;ProductID=MALHGOL17BB&amp;wWidth=700&amp;wHeight=510&amp;intHort=0&amp;imgProID=MALHGOL17BB&amp;strUserType=Live","Malus 'Hargozam' Harvest Gold®")</f>
        <v>Malus 'Hargozam' Harvest Gold®</v>
      </c>
      <c r="B489" s="32" t="s">
        <v>42</v>
      </c>
      <c r="C489" s="32"/>
      <c r="D489" s="33">
        <v>169</v>
      </c>
      <c r="E489" s="34"/>
      <c r="F489" s="35">
        <v>39</v>
      </c>
      <c r="G489" s="32">
        <v>0</v>
      </c>
      <c r="H489" s="37">
        <v>0</v>
      </c>
      <c r="I489" s="38">
        <f t="shared" si="16"/>
        <v>0</v>
      </c>
    </row>
    <row r="490" spans="1:9" ht="10.199999999999999" customHeight="1" x14ac:dyDescent="0.3">
      <c r="A490" s="32" t="str">
        <f>HYPERLINK("http://avail.sbinursery.com/LiveInventoryDetail.aspx?CustomerID=954&amp;intItemKey=457&amp;ProductID=MALHGOL20BB&amp;wWidth=700&amp;wHeight=510&amp;intHort=0&amp;imgProID=MALHGOL20BB&amp;strUserType=Live","Malus 'Hargozam' Harvest Gold®")</f>
        <v>Malus 'Hargozam' Harvest Gold®</v>
      </c>
      <c r="B490" s="32" t="s">
        <v>43</v>
      </c>
      <c r="C490" s="32"/>
      <c r="D490" s="33">
        <v>187</v>
      </c>
      <c r="E490" s="34"/>
      <c r="F490" s="35">
        <v>16</v>
      </c>
      <c r="G490" s="32">
        <v>0</v>
      </c>
      <c r="H490" s="37">
        <v>0</v>
      </c>
      <c r="I490" s="38">
        <f t="shared" si="16"/>
        <v>0</v>
      </c>
    </row>
    <row r="491" spans="1:9" ht="10.199999999999999" customHeight="1" x14ac:dyDescent="0.3">
      <c r="A491" s="32" t="str">
        <f>HYPERLINK("http://avail.sbinursery.com/LiveInventoryDetail.aspx?CustomerID=954&amp;intItemKey=457&amp;ProductID=MALHGOL25BB&amp;wWidth=700&amp;wHeight=510&amp;intHort=0&amp;imgProID=MALHGOL25BB&amp;strUserType=Live","Malus 'Hargozam' Harvest Gold®")</f>
        <v>Malus 'Hargozam' Harvest Gold®</v>
      </c>
      <c r="B491" s="32" t="s">
        <v>44</v>
      </c>
      <c r="C491" s="32"/>
      <c r="D491" s="33">
        <v>244</v>
      </c>
      <c r="E491" s="34"/>
      <c r="F491" s="35">
        <v>13</v>
      </c>
      <c r="G491" s="32">
        <v>0</v>
      </c>
      <c r="H491" s="37">
        <v>0</v>
      </c>
      <c r="I491" s="38">
        <f t="shared" si="16"/>
        <v>0</v>
      </c>
    </row>
    <row r="492" spans="1:9" ht="10.199999999999999" customHeight="1" x14ac:dyDescent="0.3">
      <c r="A492" s="32" t="str">
        <f>HYPERLINK("http://avail.sbinursery.com/LiveInventoryDetail.aspx?CustomerID=954&amp;intItemKey=457&amp;ProductID=MALHGOL30BB&amp;wWidth=700&amp;wHeight=510&amp;intHort=0&amp;imgProID=0&amp;strUserType=Live","Malus 'Hargozam' Harvest Gold®")</f>
        <v>Malus 'Hargozam' Harvest Gold®</v>
      </c>
      <c r="B492" s="32" t="s">
        <v>75</v>
      </c>
      <c r="C492" s="32"/>
      <c r="D492" s="33">
        <v>280</v>
      </c>
      <c r="E492" s="34"/>
      <c r="F492" s="35">
        <v>1</v>
      </c>
      <c r="G492" s="32">
        <v>0</v>
      </c>
      <c r="H492" s="37">
        <v>0</v>
      </c>
      <c r="I492" s="38">
        <f t="shared" si="16"/>
        <v>0</v>
      </c>
    </row>
    <row r="493" spans="1:9" ht="10.199999999999999" customHeight="1" x14ac:dyDescent="0.3">
      <c r="A493" s="32" t="str">
        <f>HYPERLINK("http://avail.sbinursery.com/LiveInventoryDetail.aspx?CustomerID=954&amp;intItemKey=463&amp;ProductID=MALLOLL18H1K&amp;wWidth=700&amp;wHeight=510&amp;intHort=0&amp;imgProID=MALLOLL18H1K&amp;strUserType=Live","Malus 'Lollizam' Lollipop® TG")</f>
        <v>Malus 'Lollizam' Lollipop® TG</v>
      </c>
      <c r="B493" s="32" t="s">
        <v>94</v>
      </c>
      <c r="C493" s="32"/>
      <c r="D493" s="33">
        <v>128</v>
      </c>
      <c r="E493" s="34"/>
      <c r="F493" s="35">
        <v>1</v>
      </c>
      <c r="G493" s="32">
        <v>0</v>
      </c>
      <c r="H493" s="37">
        <v>0</v>
      </c>
      <c r="I493" s="38">
        <f t="shared" si="16"/>
        <v>0</v>
      </c>
    </row>
    <row r="494" spans="1:9" ht="10.199999999999999" customHeight="1" x14ac:dyDescent="0.3">
      <c r="A494" s="32" t="str">
        <f>HYPERLINK("http://avail.sbinursery.com/LiveInventoryDetail.aspx?CustomerID=954&amp;intItemKey=463&amp;ProductID=MALLOLL21H1K&amp;wWidth=700&amp;wHeight=510&amp;intHort=0&amp;imgProID=0&amp;strUserType=Live","Malus 'Lollizam' Lollipop® TG")</f>
        <v>Malus 'Lollizam' Lollipop® TG</v>
      </c>
      <c r="B494" s="32" t="s">
        <v>95</v>
      </c>
      <c r="C494" s="32"/>
      <c r="D494" s="33">
        <v>132</v>
      </c>
      <c r="E494" s="34"/>
      <c r="F494" s="35">
        <v>15</v>
      </c>
      <c r="G494" s="32">
        <v>0</v>
      </c>
      <c r="H494" s="37">
        <v>0</v>
      </c>
      <c r="I494" s="38">
        <f t="shared" si="16"/>
        <v>0</v>
      </c>
    </row>
    <row r="495" spans="1:9" ht="10.199999999999999" customHeight="1" x14ac:dyDescent="0.3">
      <c r="A495" s="32" t="str">
        <f>HYPERLINK("http://avail.sbinursery.com/LiveInventoryDetail.aspx?CustomerID=954&amp;intItemKey=917&amp;ProductID=MALPURP17BB&amp;wWidth=700&amp;wHeight=510&amp;intHort=0&amp;imgProID=MALPURP17BB&amp;strUserType=Live","Malus 'Purple Prince'")</f>
        <v>Malus 'Purple Prince'</v>
      </c>
      <c r="B495" s="32" t="s">
        <v>42</v>
      </c>
      <c r="C495" s="32"/>
      <c r="D495" s="33">
        <v>169</v>
      </c>
      <c r="E495" s="34"/>
      <c r="F495" s="35">
        <v>7</v>
      </c>
      <c r="G495" s="32">
        <v>0</v>
      </c>
      <c r="H495" s="37">
        <v>0</v>
      </c>
      <c r="I495" s="38">
        <f t="shared" si="16"/>
        <v>0</v>
      </c>
    </row>
    <row r="496" spans="1:9" ht="10.199999999999999" customHeight="1" x14ac:dyDescent="0.3">
      <c r="A496" s="32" t="str">
        <f>HYPERLINK("http://avail.sbinursery.com/LiveInventoryDetail.aspx?CustomerID=954&amp;intItemKey=917&amp;ProductID=MALPURP20BB&amp;wWidth=700&amp;wHeight=510&amp;intHort=0&amp;imgProID=MALPURP20BB&amp;strUserType=Live","Malus 'Purple Prince'")</f>
        <v>Malus 'Purple Prince'</v>
      </c>
      <c r="B496" s="32" t="s">
        <v>43</v>
      </c>
      <c r="C496" s="32"/>
      <c r="D496" s="33">
        <v>187</v>
      </c>
      <c r="E496" s="34"/>
      <c r="F496" s="35">
        <v>2</v>
      </c>
      <c r="G496" s="32">
        <v>0</v>
      </c>
      <c r="H496" s="37">
        <v>0</v>
      </c>
      <c r="I496" s="38">
        <f t="shared" si="16"/>
        <v>0</v>
      </c>
    </row>
    <row r="497" spans="1:9" ht="10.199999999999999" customHeight="1" x14ac:dyDescent="0.3">
      <c r="A497" s="32" t="str">
        <f>HYPERLINK("http://avail.sbinursery.com/LiveInventoryDetail.aspx?CustomerID=954&amp;intItemKey=917&amp;ProductID=MALPURP25BB&amp;wWidth=700&amp;wHeight=510&amp;intHort=0&amp;imgProID=MALPURP25BB&amp;strUserType=Live","Malus 'Purple Prince'")</f>
        <v>Malus 'Purple Prince'</v>
      </c>
      <c r="B497" s="32" t="s">
        <v>44</v>
      </c>
      <c r="C497" s="32"/>
      <c r="D497" s="33">
        <v>244</v>
      </c>
      <c r="E497" s="34"/>
      <c r="F497" s="35">
        <v>1</v>
      </c>
      <c r="G497" s="32">
        <v>0</v>
      </c>
      <c r="H497" s="37">
        <v>0</v>
      </c>
      <c r="I497" s="38">
        <f t="shared" si="16"/>
        <v>0</v>
      </c>
    </row>
    <row r="498" spans="1:9" ht="10.199999999999999" customHeight="1" x14ac:dyDescent="0.3">
      <c r="A498" s="32" t="str">
        <f>HYPERLINK("http://avail.sbinursery.com/LiveInventoryDetail.aspx?CustomerID=954&amp;intItemKey=1930&amp;ProductID=MALRASP15BB&amp;wWidth=700&amp;wHeight=510&amp;intHort=0&amp;imgProID=0&amp;strUserType=Live","Malus 'JFS KW213MX' PP 31008 Raspberry Spear®")</f>
        <v>Malus 'JFS KW213MX' PP 31008 Raspberry Spear®</v>
      </c>
      <c r="B498" s="32" t="s">
        <v>73</v>
      </c>
      <c r="C498" s="32"/>
      <c r="D498" s="33">
        <v>144</v>
      </c>
      <c r="E498" s="34"/>
      <c r="F498" s="35">
        <v>5</v>
      </c>
      <c r="G498" s="32">
        <v>0</v>
      </c>
      <c r="H498" s="37">
        <v>0</v>
      </c>
      <c r="I498" s="38">
        <f t="shared" si="16"/>
        <v>0</v>
      </c>
    </row>
    <row r="499" spans="1:9" ht="10.199999999999999" customHeight="1" x14ac:dyDescent="0.3">
      <c r="A499" s="32" t="str">
        <f>HYPERLINK("http://avail.sbinursery.com/LiveInventoryDetail.aspx?CustomerID=954&amp;intItemKey=836&amp;ProductID=MALREJO12BB&amp;wWidth=700&amp;wHeight=510&amp;intHort=0&amp;imgProID=0&amp;strUserType=Live","Malus 'Rejzam' Rejoice™")</f>
        <v>Malus 'Rejzam' Rejoice™</v>
      </c>
      <c r="B499" s="32" t="s">
        <v>72</v>
      </c>
      <c r="C499" s="32"/>
      <c r="D499" s="33">
        <v>126</v>
      </c>
      <c r="E499" s="34"/>
      <c r="F499" s="35">
        <v>102</v>
      </c>
      <c r="G499" s="32">
        <v>0</v>
      </c>
      <c r="H499" s="37">
        <v>0</v>
      </c>
      <c r="I499" s="38">
        <f t="shared" si="16"/>
        <v>0</v>
      </c>
    </row>
    <row r="500" spans="1:9" ht="10.199999999999999" customHeight="1" x14ac:dyDescent="0.3">
      <c r="A500" s="32" t="str">
        <f>HYPERLINK("http://avail.sbinursery.com/LiveInventoryDetail.aspx?CustomerID=954&amp;intItemKey=836&amp;ProductID=MALREJO15BB&amp;wWidth=700&amp;wHeight=510&amp;intHort=0&amp;imgProID=MALREJO15BB&amp;strUserType=Live","Malus 'Rejzam' Rejoice™")</f>
        <v>Malus 'Rejzam' Rejoice™</v>
      </c>
      <c r="B500" s="32" t="s">
        <v>73</v>
      </c>
      <c r="C500" s="32"/>
      <c r="D500" s="33">
        <v>144</v>
      </c>
      <c r="E500" s="34"/>
      <c r="F500" s="35">
        <v>101</v>
      </c>
      <c r="G500" s="32">
        <v>0</v>
      </c>
      <c r="H500" s="37">
        <v>0</v>
      </c>
      <c r="I500" s="38">
        <f t="shared" si="16"/>
        <v>0</v>
      </c>
    </row>
    <row r="501" spans="1:9" ht="10.199999999999999" customHeight="1" x14ac:dyDescent="0.3">
      <c r="A501" s="32" t="str">
        <f>HYPERLINK("http://avail.sbinursery.com/LiveInventoryDetail.aspx?CustomerID=954&amp;intItemKey=836&amp;ProductID=MALREJO17BB&amp;wWidth=700&amp;wHeight=510&amp;intHort=0&amp;imgProID=MALREJO17BB&amp;strUserType=Live","Malus 'Rejzam' Rejoice™")</f>
        <v>Malus 'Rejzam' Rejoice™</v>
      </c>
      <c r="B501" s="32" t="s">
        <v>42</v>
      </c>
      <c r="C501" s="32"/>
      <c r="D501" s="33">
        <v>169</v>
      </c>
      <c r="E501" s="34"/>
      <c r="F501" s="35">
        <v>7</v>
      </c>
      <c r="G501" s="32">
        <v>0</v>
      </c>
      <c r="H501" s="37">
        <v>0</v>
      </c>
      <c r="I501" s="38">
        <f t="shared" si="16"/>
        <v>0</v>
      </c>
    </row>
    <row r="502" spans="1:9" ht="10.199999999999999" customHeight="1" x14ac:dyDescent="0.3">
      <c r="A502" s="32" t="str">
        <f>HYPERLINK("http://avail.sbinursery.com/LiveInventoryDetail.aspx?CustomerID=954&amp;intItemKey=836&amp;ProductID=MALREJO20BB&amp;wWidth=700&amp;wHeight=510&amp;intHort=0&amp;imgProID=MALREJO20BB&amp;strUserType=Live","Malus 'Rejzam' Rejoice™")</f>
        <v>Malus 'Rejzam' Rejoice™</v>
      </c>
      <c r="B502" s="32" t="s">
        <v>43</v>
      </c>
      <c r="C502" s="32"/>
      <c r="D502" s="33">
        <v>187</v>
      </c>
      <c r="E502" s="34"/>
      <c r="F502" s="35">
        <v>3</v>
      </c>
      <c r="G502" s="32">
        <v>0</v>
      </c>
      <c r="H502" s="37">
        <v>0</v>
      </c>
      <c r="I502" s="38">
        <f t="shared" si="16"/>
        <v>0</v>
      </c>
    </row>
    <row r="503" spans="1:9" ht="10.199999999999999" customHeight="1" x14ac:dyDescent="0.3">
      <c r="A503" s="32" t="str">
        <f>HYPERLINK("http://avail.sbinursery.com/LiveInventoryDetail.aspx?CustomerID=954&amp;intItemKey=836&amp;ProductID=MALREJO25BB&amp;wWidth=700&amp;wHeight=510&amp;intHort=0&amp;imgProID=MALREJO25BB&amp;strUserType=Live","Malus 'Rejzam' Rejoice™")</f>
        <v>Malus 'Rejzam' Rejoice™</v>
      </c>
      <c r="B503" s="32" t="s">
        <v>44</v>
      </c>
      <c r="C503" s="32"/>
      <c r="D503" s="33">
        <v>244</v>
      </c>
      <c r="E503" s="34"/>
      <c r="F503" s="35">
        <v>5</v>
      </c>
      <c r="G503" s="32">
        <v>0</v>
      </c>
      <c r="H503" s="37">
        <v>0</v>
      </c>
      <c r="I503" s="38">
        <f t="shared" si="16"/>
        <v>0</v>
      </c>
    </row>
    <row r="504" spans="1:9" ht="10.199999999999999" customHeight="1" x14ac:dyDescent="0.3">
      <c r="A504" s="32" t="str">
        <f>HYPERLINK("http://avail.sbinursery.com/LiveInventoryDetail.aspx?CustomerID=954&amp;intItemKey=836&amp;ProductID=MALREJO30BB&amp;wWidth=700&amp;wHeight=510&amp;intHort=0&amp;imgProID=MALREJO30BB&amp;strUserType=Live","Malus 'Rejzam' Rejoice™")</f>
        <v>Malus 'Rejzam' Rejoice™</v>
      </c>
      <c r="B504" s="32" t="s">
        <v>75</v>
      </c>
      <c r="C504" s="32"/>
      <c r="D504" s="33">
        <v>280</v>
      </c>
      <c r="E504" s="34"/>
      <c r="F504" s="35">
        <v>4</v>
      </c>
      <c r="G504" s="32">
        <v>0</v>
      </c>
      <c r="H504" s="37">
        <v>0</v>
      </c>
      <c r="I504" s="38">
        <f t="shared" si="16"/>
        <v>0</v>
      </c>
    </row>
    <row r="505" spans="1:9" ht="10.199999999999999" customHeight="1" x14ac:dyDescent="0.3">
      <c r="A505" s="32" t="str">
        <f>HYPERLINK("http://avail.sbinursery.com/LiveInventoryDetail.aspx?CustomerID=954&amp;intItemKey=1876&amp;ProductID=MALROYB07BB&amp;wWidth=700&amp;wHeight=510&amp;intHort=0&amp;imgProID=0&amp;strUserType=Live","Malus 'Royal Beauty'")</f>
        <v>Malus 'Royal Beauty'</v>
      </c>
      <c r="B505" s="32" t="s">
        <v>65</v>
      </c>
      <c r="C505" s="32"/>
      <c r="D505" s="33">
        <v>128</v>
      </c>
      <c r="E505" s="34"/>
      <c r="F505" s="35">
        <v>5</v>
      </c>
      <c r="G505" s="32">
        <v>0</v>
      </c>
      <c r="H505" s="37">
        <v>0</v>
      </c>
      <c r="I505" s="38">
        <f t="shared" si="16"/>
        <v>0</v>
      </c>
    </row>
    <row r="506" spans="1:9" ht="10.199999999999999" customHeight="1" x14ac:dyDescent="0.3">
      <c r="A506" s="32" t="str">
        <f>HYPERLINK("http://avail.sbinursery.com/LiveInventoryDetail.aspx?CustomerID=954&amp;intItemKey=1876&amp;ProductID=MALROYB08BB&amp;wWidth=700&amp;wHeight=510&amp;intHort=0&amp;imgProID=MALROYB08BB&amp;strUserType=Live","Malus 'Royal Beauty'")</f>
        <v>Malus 'Royal Beauty'</v>
      </c>
      <c r="B506" s="32" t="s">
        <v>67</v>
      </c>
      <c r="C506" s="32"/>
      <c r="D506" s="33">
        <v>135</v>
      </c>
      <c r="E506" s="34"/>
      <c r="F506" s="35">
        <v>40</v>
      </c>
      <c r="G506" s="32">
        <v>0</v>
      </c>
      <c r="H506" s="37">
        <v>0</v>
      </c>
      <c r="I506" s="38">
        <f t="shared" si="16"/>
        <v>0</v>
      </c>
    </row>
    <row r="507" spans="1:9" ht="10.199999999999999" customHeight="1" x14ac:dyDescent="0.3">
      <c r="A507" s="32" t="str">
        <f>HYPERLINK("http://avail.sbinursery.com/LiveInventoryDetail.aspx?CustomerID=954&amp;intItemKey=922&amp;ProductID=MALRRAI15BB&amp;wWidth=700&amp;wHeight=510&amp;intHort=0&amp;imgProID=MALRRAI15BB&amp;strUserType=Live","Malus transitoria 'JFS-KW5' PP14375 Royal Raindrops®")</f>
        <v>Malus transitoria 'JFS-KW5' PP14375 Royal Raindrops®</v>
      </c>
      <c r="B507" s="32" t="s">
        <v>73</v>
      </c>
      <c r="C507" s="32"/>
      <c r="D507" s="33">
        <v>144</v>
      </c>
      <c r="E507" s="34"/>
      <c r="F507" s="35">
        <v>5</v>
      </c>
      <c r="G507" s="32">
        <v>0</v>
      </c>
      <c r="H507" s="37">
        <v>0</v>
      </c>
      <c r="I507" s="38">
        <f t="shared" si="16"/>
        <v>0</v>
      </c>
    </row>
    <row r="508" spans="1:9" ht="10.199999999999999" customHeight="1" x14ac:dyDescent="0.3">
      <c r="A508" s="32" t="str">
        <f>HYPERLINK("http://avail.sbinursery.com/LiveInventoryDetail.aspx?CustomerID=954&amp;intItemKey=479&amp;ProductID=MALSARG15BB&amp;wWidth=700&amp;wHeight=510&amp;intHort=0&amp;imgProID=MALSARG15BB&amp;strUserType=Live","Malus 'Sargentii'")</f>
        <v>Malus 'Sargentii'</v>
      </c>
      <c r="B508" s="32" t="s">
        <v>73</v>
      </c>
      <c r="C508" s="32"/>
      <c r="D508" s="33">
        <v>144</v>
      </c>
      <c r="E508" s="34"/>
      <c r="F508" s="35">
        <v>36</v>
      </c>
      <c r="G508" s="32">
        <v>0</v>
      </c>
      <c r="H508" s="37">
        <v>0</v>
      </c>
      <c r="I508" s="38">
        <f t="shared" ref="I508:I542" si="17">PRODUCT(D508,H508)</f>
        <v>0</v>
      </c>
    </row>
    <row r="509" spans="1:9" ht="10.199999999999999" customHeight="1" x14ac:dyDescent="0.3">
      <c r="A509" s="32" t="str">
        <f>HYPERLINK("http://avail.sbinursery.com/LiveInventoryDetail.aspx?CustomerID=954&amp;intItemKey=479&amp;ProductID=MALSARG17BB&amp;wWidth=700&amp;wHeight=510&amp;intHort=0&amp;imgProID=MALSARG17BB&amp;strUserType=Live","Malus 'Sargentii'")</f>
        <v>Malus 'Sargentii'</v>
      </c>
      <c r="B509" s="32" t="s">
        <v>42</v>
      </c>
      <c r="C509" s="32"/>
      <c r="D509" s="33">
        <v>169</v>
      </c>
      <c r="E509" s="34"/>
      <c r="F509" s="35">
        <v>24</v>
      </c>
      <c r="G509" s="32">
        <v>0</v>
      </c>
      <c r="H509" s="37">
        <v>0</v>
      </c>
      <c r="I509" s="38">
        <f t="shared" si="17"/>
        <v>0</v>
      </c>
    </row>
    <row r="510" spans="1:9" ht="10.199999999999999" customHeight="1" x14ac:dyDescent="0.3">
      <c r="A510" s="32" t="str">
        <f>HYPERLINK("http://avail.sbinursery.com/LiveInventoryDetail.aspx?CustomerID=954&amp;intItemKey=479&amp;ProductID=MALSARG17BBI&amp;wWidth=700&amp;wHeight=510&amp;intHort=0&amp;imgProID=0&amp;strUserType=Live","Malus 'Sargentii'")</f>
        <v>Malus 'Sargentii'</v>
      </c>
      <c r="B510" s="32" t="s">
        <v>71</v>
      </c>
      <c r="C510" s="32"/>
      <c r="D510" s="33">
        <v>110</v>
      </c>
      <c r="E510" s="34"/>
      <c r="F510" s="35">
        <v>1</v>
      </c>
      <c r="G510" s="32">
        <v>0</v>
      </c>
      <c r="H510" s="37">
        <v>0</v>
      </c>
      <c r="I510" s="38">
        <f t="shared" si="17"/>
        <v>0</v>
      </c>
    </row>
    <row r="511" spans="1:9" ht="10.199999999999999" customHeight="1" x14ac:dyDescent="0.3">
      <c r="A511" s="32" t="str">
        <f>HYPERLINK("http://avail.sbinursery.com/LiveInventoryDetail.aspx?CustomerID=954&amp;intItemKey=479&amp;ProductID=MALSARG20BB&amp;wWidth=700&amp;wHeight=510&amp;intHort=0&amp;imgProID=MALSARG20BB&amp;strUserType=Live","Malus 'Sargentii'")</f>
        <v>Malus 'Sargentii'</v>
      </c>
      <c r="B511" s="32" t="s">
        <v>43</v>
      </c>
      <c r="C511" s="32"/>
      <c r="D511" s="33">
        <v>187</v>
      </c>
      <c r="E511" s="34"/>
      <c r="F511" s="35">
        <v>1</v>
      </c>
      <c r="G511" s="32">
        <v>0</v>
      </c>
      <c r="H511" s="37">
        <v>0</v>
      </c>
      <c r="I511" s="38">
        <f t="shared" si="17"/>
        <v>0</v>
      </c>
    </row>
    <row r="512" spans="1:9" ht="10.199999999999999" customHeight="1" x14ac:dyDescent="0.3">
      <c r="A512" s="32" t="str">
        <f>HYPERLINK("http://avail.sbinursery.com/LiveInventoryDetail.aspx?CustomerID=954&amp;intItemKey=1788&amp;ProductID=MALSJEF17BB&amp;wWidth=700&amp;wHeight=510&amp;intHort=0&amp;imgProID=MALSJEF17BB&amp;strUserType=Live","Malus x 'Jeflite' Starlite® Crabapple")</f>
        <v>Malus x 'Jeflite' Starlite® Crabapple</v>
      </c>
      <c r="B512" s="32" t="s">
        <v>42</v>
      </c>
      <c r="C512" s="32"/>
      <c r="D512" s="33">
        <v>169</v>
      </c>
      <c r="E512" s="34"/>
      <c r="F512" s="35">
        <v>2</v>
      </c>
      <c r="G512" s="32">
        <v>0</v>
      </c>
      <c r="H512" s="37">
        <v>0</v>
      </c>
      <c r="I512" s="38">
        <f t="shared" si="17"/>
        <v>0</v>
      </c>
    </row>
    <row r="513" spans="1:9" ht="10.199999999999999" customHeight="1" x14ac:dyDescent="0.3">
      <c r="A513" s="32" t="str">
        <f>HYPERLINK("http://avail.sbinursery.com/LiveInventoryDetail.aspx?CustomerID=954&amp;intItemKey=1788&amp;ProductID=MALSJEF20BB&amp;wWidth=700&amp;wHeight=510&amp;intHort=0&amp;imgProID=MALSJEF20BB&amp;strUserType=Live","Malus x 'Jeflite' Starlite® Crabapple")</f>
        <v>Malus x 'Jeflite' Starlite® Crabapple</v>
      </c>
      <c r="B513" s="32" t="s">
        <v>43</v>
      </c>
      <c r="C513" s="32"/>
      <c r="D513" s="33">
        <v>187</v>
      </c>
      <c r="E513" s="34"/>
      <c r="F513" s="35">
        <v>1</v>
      </c>
      <c r="G513" s="32">
        <v>0</v>
      </c>
      <c r="H513" s="37">
        <v>0</v>
      </c>
      <c r="I513" s="38">
        <f t="shared" si="17"/>
        <v>0</v>
      </c>
    </row>
    <row r="514" spans="1:9" ht="10.199999999999999" customHeight="1" x14ac:dyDescent="0.3">
      <c r="A514" s="32" t="str">
        <f>HYPERLINK("http://avail.sbinursery.com/LiveInventoryDetail.aspx?CustomerID=954&amp;intItemKey=1788&amp;ProductID=MALSJEF25BB&amp;wWidth=700&amp;wHeight=510&amp;intHort=0&amp;imgProID=MALSJEF25BB&amp;strUserType=Live","Malus x 'Jeflite' Starlite® Crabapple")</f>
        <v>Malus x 'Jeflite' Starlite® Crabapple</v>
      </c>
      <c r="B514" s="32" t="s">
        <v>44</v>
      </c>
      <c r="C514" s="32"/>
      <c r="D514" s="33">
        <v>244</v>
      </c>
      <c r="E514" s="34"/>
      <c r="F514" s="35">
        <v>6</v>
      </c>
      <c r="G514" s="32">
        <v>0</v>
      </c>
      <c r="H514" s="37">
        <v>0</v>
      </c>
      <c r="I514" s="38">
        <f t="shared" si="17"/>
        <v>0</v>
      </c>
    </row>
    <row r="515" spans="1:9" ht="10.199999999999999" customHeight="1" x14ac:dyDescent="0.3">
      <c r="A515" s="32" t="str">
        <f>HYPERLINK("http://avail.sbinursery.com/LiveInventoryDetail.aspx?CustomerID=954&amp;intItemKey=1788&amp;ProductID=MALSJEF30BB&amp;wWidth=700&amp;wHeight=510&amp;intHort=0&amp;imgProID=0&amp;strUserType=Live","Malus x 'Jeflite' Starlite® Crabapple")</f>
        <v>Malus x 'Jeflite' Starlite® Crabapple</v>
      </c>
      <c r="B515" s="32" t="s">
        <v>75</v>
      </c>
      <c r="C515" s="32"/>
      <c r="D515" s="33">
        <v>280</v>
      </c>
      <c r="E515" s="34"/>
      <c r="F515" s="35">
        <v>1</v>
      </c>
      <c r="G515" s="32">
        <v>0</v>
      </c>
      <c r="H515" s="37">
        <v>0</v>
      </c>
      <c r="I515" s="38">
        <f t="shared" si="17"/>
        <v>0</v>
      </c>
    </row>
    <row r="516" spans="1:9" ht="10.199999999999999" customHeight="1" x14ac:dyDescent="0.3">
      <c r="A516" s="32" t="str">
        <f>HYPERLINK("http://avail.sbinursery.com/LiveInventoryDetail.aspx?CustomerID=954&amp;intItemKey=838&amp;ProductID=MALSTYM17BB&amp;wWidth=700&amp;wHeight=510&amp;intHort=0&amp;imgProID=MALSTYM17BB&amp;strUserType=Live","Malus 'Sutyzam' Sugar Tyme®")</f>
        <v>Malus 'Sutyzam' Sugar Tyme®</v>
      </c>
      <c r="B516" s="32" t="s">
        <v>42</v>
      </c>
      <c r="C516" s="32"/>
      <c r="D516" s="33">
        <v>169</v>
      </c>
      <c r="E516" s="34"/>
      <c r="F516" s="35">
        <v>1</v>
      </c>
      <c r="G516" s="32">
        <v>0</v>
      </c>
      <c r="H516" s="37">
        <v>0</v>
      </c>
      <c r="I516" s="38">
        <f t="shared" si="17"/>
        <v>0</v>
      </c>
    </row>
    <row r="517" spans="1:9" ht="10.199999999999999" customHeight="1" x14ac:dyDescent="0.3">
      <c r="A517" s="32" t="str">
        <f>HYPERLINK("http://avail.sbinursery.com/LiveInventoryDetail.aspx?CustomerID=954&amp;intItemKey=838&amp;ProductID=MALSTYM25BB&amp;wWidth=700&amp;wHeight=510&amp;intHort=0&amp;imgProID=MALSTYM25BB&amp;strUserType=Live","Malus 'Sutyzam' Sugar Tyme®")</f>
        <v>Malus 'Sutyzam' Sugar Tyme®</v>
      </c>
      <c r="B517" s="32" t="s">
        <v>44</v>
      </c>
      <c r="C517" s="32"/>
      <c r="D517" s="33">
        <v>244</v>
      </c>
      <c r="E517" s="34"/>
      <c r="F517" s="35">
        <v>1</v>
      </c>
      <c r="G517" s="32">
        <v>0</v>
      </c>
      <c r="H517" s="37">
        <v>0</v>
      </c>
      <c r="I517" s="38">
        <f t="shared" si="17"/>
        <v>0</v>
      </c>
    </row>
    <row r="518" spans="1:9" ht="10.199999999999999" customHeight="1" x14ac:dyDescent="0.3">
      <c r="A518" s="32" t="str">
        <f>HYPERLINK("http://avail.sbinursery.com/LiveInventoryDetail.aspx?CustomerID=954&amp;intItemKey=1877&amp;ProductID=METGJAD30BB&amp;wWidth=700&amp;wHeight=510&amp;intHort=0&amp;imgProID=METGJAD30BB&amp;strUserType=Live","Metasequoia glyptostroboides 'JFS-PN3Legacy' Jade Prince®")</f>
        <v>Metasequoia glyptostroboides 'JFS-PN3Legacy' Jade Prince®</v>
      </c>
      <c r="B518" s="32" t="s">
        <v>75</v>
      </c>
      <c r="C518" s="32"/>
      <c r="D518" s="33">
        <v>286</v>
      </c>
      <c r="E518" s="34"/>
      <c r="F518" s="35">
        <v>7</v>
      </c>
      <c r="G518" s="32">
        <v>0</v>
      </c>
      <c r="H518" s="37">
        <v>0</v>
      </c>
      <c r="I518" s="38">
        <f t="shared" si="17"/>
        <v>0</v>
      </c>
    </row>
    <row r="519" spans="1:9" ht="10.199999999999999" customHeight="1" x14ac:dyDescent="0.3">
      <c r="A519" s="32" t="str">
        <f>HYPERLINK("http://avail.sbinursery.com/LiveInventoryDetail.aspx?CustomerID=954&amp;intItemKey=1877&amp;ProductID=METGJAD35BB&amp;wWidth=700&amp;wHeight=510&amp;intHort=0&amp;imgProID=0&amp;strUserType=Live","Metasequoia glyptostroboides 'JFS-PN3Legacy' Jade Prince®")</f>
        <v>Metasequoia glyptostroboides 'JFS-PN3Legacy' Jade Prince®</v>
      </c>
      <c r="B519" s="32" t="s">
        <v>76</v>
      </c>
      <c r="C519" s="32"/>
      <c r="D519" s="33">
        <v>329</v>
      </c>
      <c r="E519" s="34"/>
      <c r="F519" s="35">
        <v>4</v>
      </c>
      <c r="G519" s="32">
        <v>0</v>
      </c>
      <c r="H519" s="37">
        <v>0</v>
      </c>
      <c r="I519" s="38">
        <f t="shared" si="17"/>
        <v>0</v>
      </c>
    </row>
    <row r="520" spans="1:9" ht="10.199999999999999" customHeight="1" x14ac:dyDescent="0.3">
      <c r="A520" s="32" t="str">
        <f>HYPERLINK("http://avail.sbinursery.com/LiveInventoryDetail.aspx?CustomerID=954&amp;intItemKey=485&amp;ProductID=METGLYP20BB&amp;wWidth=700&amp;wHeight=510&amp;intHort=0&amp;imgProID=0&amp;strUserType=Live","Metasequoia glyptostroboides")</f>
        <v>Metasequoia glyptostroboides</v>
      </c>
      <c r="B520" s="32" t="s">
        <v>43</v>
      </c>
      <c r="C520" s="32"/>
      <c r="D520" s="33">
        <v>191</v>
      </c>
      <c r="E520" s="34"/>
      <c r="F520" s="35">
        <v>5</v>
      </c>
      <c r="G520" s="32">
        <v>0</v>
      </c>
      <c r="H520" s="37">
        <v>0</v>
      </c>
      <c r="I520" s="38">
        <f t="shared" si="17"/>
        <v>0</v>
      </c>
    </row>
    <row r="521" spans="1:9" ht="10.199999999999999" customHeight="1" x14ac:dyDescent="0.3">
      <c r="A521" s="32" t="str">
        <f>HYPERLINK("http://avail.sbinursery.com/LiveInventoryDetail.aspx?CustomerID=954&amp;intItemKey=485&amp;ProductID=METGLYP25BB&amp;wWidth=700&amp;wHeight=510&amp;intHort=0&amp;imgProID=METGLYP25BB&amp;strUserType=Live","Metasequoia glyptostroboides")</f>
        <v>Metasequoia glyptostroboides</v>
      </c>
      <c r="B521" s="32" t="s">
        <v>44</v>
      </c>
      <c r="C521" s="32"/>
      <c r="D521" s="33">
        <v>249</v>
      </c>
      <c r="E521" s="34"/>
      <c r="F521" s="35">
        <v>27</v>
      </c>
      <c r="G521" s="32">
        <v>0</v>
      </c>
      <c r="H521" s="37">
        <v>0</v>
      </c>
      <c r="I521" s="38">
        <f t="shared" si="17"/>
        <v>0</v>
      </c>
    </row>
    <row r="522" spans="1:9" ht="10.199999999999999" customHeight="1" x14ac:dyDescent="0.3">
      <c r="A522" s="32" t="str">
        <f>HYPERLINK("http://avail.sbinursery.com/LiveInventoryDetail.aspx?CustomerID=954&amp;intItemKey=485&amp;ProductID=METGLYP30BB&amp;wWidth=700&amp;wHeight=510&amp;intHort=0&amp;imgProID=METGLYP30BB&amp;strUserType=Live","Metasequoia glyptostroboides")</f>
        <v>Metasequoia glyptostroboides</v>
      </c>
      <c r="B522" s="32" t="s">
        <v>75</v>
      </c>
      <c r="C522" s="32"/>
      <c r="D522" s="33">
        <v>286</v>
      </c>
      <c r="E522" s="34"/>
      <c r="F522" s="35">
        <v>5</v>
      </c>
      <c r="G522" s="32">
        <v>0</v>
      </c>
      <c r="H522" s="37">
        <v>0</v>
      </c>
      <c r="I522" s="38">
        <f t="shared" si="17"/>
        <v>0</v>
      </c>
    </row>
    <row r="523" spans="1:9" ht="10.199999999999999" customHeight="1" x14ac:dyDescent="0.3">
      <c r="A523" s="32" t="str">
        <f>HYPERLINK("http://avail.sbinursery.com/LiveInventoryDetail.aspx?CustomerID=954&amp;intItemKey=503&amp;ProductID=OSTVIRG12BB&amp;wWidth=700&amp;wHeight=510&amp;intHort=0&amp;imgProID=OSTVIRG12BB&amp;strUserType=Live","Ostrya virginiana")</f>
        <v>Ostrya virginiana</v>
      </c>
      <c r="B523" s="32" t="s">
        <v>72</v>
      </c>
      <c r="C523" s="32"/>
      <c r="D523" s="33">
        <v>139</v>
      </c>
      <c r="E523" s="34"/>
      <c r="F523" s="35">
        <v>3</v>
      </c>
      <c r="G523" s="32">
        <v>0</v>
      </c>
      <c r="H523" s="37">
        <v>0</v>
      </c>
      <c r="I523" s="38">
        <f t="shared" si="17"/>
        <v>0</v>
      </c>
    </row>
    <row r="524" spans="1:9" ht="10.199999999999999" customHeight="1" x14ac:dyDescent="0.3">
      <c r="A524" s="32" t="str">
        <f>HYPERLINK("http://avail.sbinursery.com/LiveInventoryDetail.aspx?CustomerID=954&amp;intItemKey=503&amp;ProductID=OSTVIRG15BB&amp;wWidth=700&amp;wHeight=510&amp;intHort=0&amp;imgProID=OSTVIRG15BB&amp;strUserType=Live","Ostrya virginiana")</f>
        <v>Ostrya virginiana</v>
      </c>
      <c r="B524" s="32" t="s">
        <v>73</v>
      </c>
      <c r="C524" s="32"/>
      <c r="D524" s="33">
        <v>157</v>
      </c>
      <c r="E524" s="34"/>
      <c r="F524" s="35">
        <v>2</v>
      </c>
      <c r="G524" s="32">
        <v>0</v>
      </c>
      <c r="H524" s="37">
        <v>0</v>
      </c>
      <c r="I524" s="38">
        <f t="shared" si="17"/>
        <v>0</v>
      </c>
    </row>
    <row r="525" spans="1:9" ht="10.199999999999999" customHeight="1" x14ac:dyDescent="0.3">
      <c r="A525" s="32" t="str">
        <f>HYPERLINK("http://avail.sbinursery.com/LiveInventoryDetail.aspx?CustomerID=954&amp;intItemKey=503&amp;ProductID=OSTVIRG20BB&amp;wWidth=700&amp;wHeight=510&amp;intHort=0&amp;imgProID=OSTVIRG20BB&amp;strUserType=Live","Ostrya virginiana")</f>
        <v>Ostrya virginiana</v>
      </c>
      <c r="B525" s="32" t="s">
        <v>43</v>
      </c>
      <c r="C525" s="32"/>
      <c r="D525" s="33">
        <v>205</v>
      </c>
      <c r="E525" s="34"/>
      <c r="F525" s="35">
        <v>1</v>
      </c>
      <c r="G525" s="32">
        <v>0</v>
      </c>
      <c r="H525" s="37">
        <v>0</v>
      </c>
      <c r="I525" s="38">
        <f t="shared" si="17"/>
        <v>0</v>
      </c>
    </row>
    <row r="526" spans="1:9" ht="10.199999999999999" customHeight="1" x14ac:dyDescent="0.3">
      <c r="A526" s="32" t="str">
        <f>HYPERLINK("http://avail.sbinursery.com/LiveInventoryDetail.aspx?CustomerID=954&amp;intItemKey=551&amp;ProductID=PLAXBLO17BB&amp;wWidth=700&amp;wHeight=510&amp;intHort=0&amp;imgProID=PLAXBLO17BB&amp;strUserType=Live","Platanus x 'Bloodgood'")</f>
        <v>Platanus x 'Bloodgood'</v>
      </c>
      <c r="B526" s="32" t="s">
        <v>42</v>
      </c>
      <c r="C526" s="32"/>
      <c r="D526" s="33">
        <v>185</v>
      </c>
      <c r="E526" s="34"/>
      <c r="F526" s="35">
        <v>1</v>
      </c>
      <c r="G526" s="32">
        <v>0</v>
      </c>
      <c r="H526" s="37">
        <v>0</v>
      </c>
      <c r="I526" s="38">
        <f t="shared" si="17"/>
        <v>0</v>
      </c>
    </row>
    <row r="527" spans="1:9" ht="10.199999999999999" customHeight="1" x14ac:dyDescent="0.3">
      <c r="A527" s="32" t="str">
        <f>HYPERLINK("http://avail.sbinursery.com/LiveInventoryDetail.aspx?CustomerID=954&amp;intItemKey=551&amp;ProductID=PLAXBLO20BB&amp;wWidth=700&amp;wHeight=510&amp;intHort=0&amp;imgProID=PLAXBLO20BB&amp;strUserType=Live","Platanus x 'Bloodgood'")</f>
        <v>Platanus x 'Bloodgood'</v>
      </c>
      <c r="B527" s="32" t="s">
        <v>43</v>
      </c>
      <c r="C527" s="32"/>
      <c r="D527" s="33">
        <v>205</v>
      </c>
      <c r="E527" s="34"/>
      <c r="F527" s="35">
        <v>2</v>
      </c>
      <c r="G527" s="32">
        <v>0</v>
      </c>
      <c r="H527" s="37">
        <v>0</v>
      </c>
      <c r="I527" s="38">
        <f t="shared" si="17"/>
        <v>0</v>
      </c>
    </row>
    <row r="528" spans="1:9" ht="10.199999999999999" customHeight="1" x14ac:dyDescent="0.3">
      <c r="A528" s="32" t="str">
        <f>HYPERLINK("http://avail.sbinursery.com/LiveInventoryDetail.aspx?CustomerID=954&amp;intItemKey=551&amp;ProductID=PLAXBLO25BB&amp;wWidth=700&amp;wHeight=510&amp;intHort=0&amp;imgProID=PLAXBLO25BB&amp;strUserType=Live","Platanus x 'Bloodgood'")</f>
        <v>Platanus x 'Bloodgood'</v>
      </c>
      <c r="B528" s="32" t="s">
        <v>44</v>
      </c>
      <c r="C528" s="32"/>
      <c r="D528" s="33">
        <v>267</v>
      </c>
      <c r="E528" s="34"/>
      <c r="F528" s="35">
        <v>2</v>
      </c>
      <c r="G528" s="32">
        <v>0</v>
      </c>
      <c r="H528" s="37">
        <v>0</v>
      </c>
      <c r="I528" s="38">
        <f t="shared" si="17"/>
        <v>0</v>
      </c>
    </row>
    <row r="529" spans="1:9" ht="10.199999999999999" customHeight="1" x14ac:dyDescent="0.3">
      <c r="A529" s="32" t="str">
        <f>HYPERLINK("http://avail.sbinursery.com/LiveInventoryDetail.aspx?CustomerID=954&amp;intItemKey=551&amp;ProductID=PLAXBLO40BB&amp;wWidth=700&amp;wHeight=510&amp;intHort=0&amp;imgProID=PLAXBLO40BB&amp;strUserType=Live","Platanus x 'Bloodgood'")</f>
        <v>Platanus x 'Bloodgood'</v>
      </c>
      <c r="B529" s="32" t="s">
        <v>91</v>
      </c>
      <c r="C529" s="32"/>
      <c r="D529" s="33">
        <v>388</v>
      </c>
      <c r="E529" s="34"/>
      <c r="F529" s="35">
        <v>3</v>
      </c>
      <c r="G529" s="32">
        <v>0</v>
      </c>
      <c r="H529" s="37">
        <v>0</v>
      </c>
      <c r="I529" s="38">
        <f t="shared" si="17"/>
        <v>0</v>
      </c>
    </row>
    <row r="530" spans="1:9" ht="10.199999999999999" customHeight="1" x14ac:dyDescent="0.3">
      <c r="A530" s="32" t="str">
        <f>HYPERLINK("http://avail.sbinursery.com/LiveInventoryDetail.aspx?CustomerID=954&amp;intItemKey=551&amp;ProductID=PLAXBLO45BB&amp;wWidth=700&amp;wHeight=510&amp;intHort=0&amp;imgProID=PLAXBLO45BB&amp;strUserType=Live","Platanus x 'Bloodgood'")</f>
        <v>Platanus x 'Bloodgood'</v>
      </c>
      <c r="B530" s="32" t="s">
        <v>93</v>
      </c>
      <c r="C530" s="32"/>
      <c r="D530" s="33">
        <v>446</v>
      </c>
      <c r="E530" s="34"/>
      <c r="F530" s="35">
        <v>6</v>
      </c>
      <c r="G530" s="32">
        <v>0</v>
      </c>
      <c r="H530" s="37">
        <v>0</v>
      </c>
      <c r="I530" s="38">
        <f t="shared" si="17"/>
        <v>0</v>
      </c>
    </row>
    <row r="531" spans="1:9" ht="10.199999999999999" customHeight="1" x14ac:dyDescent="0.3">
      <c r="A531" s="32" t="str">
        <f>HYPERLINK("http://avail.sbinursery.com/LiveInventoryDetail.aspx?CustomerID=954&amp;intItemKey=551&amp;ProductID=PLAXBLO50BB&amp;wWidth=700&amp;wHeight=510&amp;intHort=0&amp;imgProID=0&amp;strUserType=Live","Platanus x 'Bloodgood'")</f>
        <v>Platanus x 'Bloodgood'</v>
      </c>
      <c r="B531" s="32" t="s">
        <v>86</v>
      </c>
      <c r="C531" s="32"/>
      <c r="D531" s="33">
        <v>513</v>
      </c>
      <c r="E531" s="34"/>
      <c r="F531" s="35">
        <v>1</v>
      </c>
      <c r="G531" s="32">
        <v>0</v>
      </c>
      <c r="H531" s="37">
        <v>0</v>
      </c>
      <c r="I531" s="38">
        <f t="shared" si="17"/>
        <v>0</v>
      </c>
    </row>
    <row r="532" spans="1:9" ht="10.199999999999999" customHeight="1" x14ac:dyDescent="0.3">
      <c r="A532" s="32" t="str">
        <f>HYPERLINK("http://avail.sbinursery.com/LiveInventoryDetail.aspx?CustomerID=954&amp;intItemKey=554&amp;ProductID=PLAXEXC15BB&amp;wWidth=700&amp;wHeight=510&amp;intHort=0&amp;imgProID=PLAXEXC15BB&amp;strUserType=Live","Platanus x 'Morton Circle' Exclamation!®")</f>
        <v>Platanus x 'Morton Circle' Exclamation!®</v>
      </c>
      <c r="B532" s="32" t="s">
        <v>73</v>
      </c>
      <c r="C532" s="32"/>
      <c r="D532" s="33">
        <v>159</v>
      </c>
      <c r="E532" s="34"/>
      <c r="F532" s="35">
        <v>7</v>
      </c>
      <c r="G532" s="32">
        <v>0</v>
      </c>
      <c r="H532" s="37">
        <v>0</v>
      </c>
      <c r="I532" s="38">
        <f t="shared" si="17"/>
        <v>0</v>
      </c>
    </row>
    <row r="533" spans="1:9" ht="10.199999999999999" customHeight="1" x14ac:dyDescent="0.3">
      <c r="A533" s="32" t="str">
        <f>HYPERLINK("http://avail.sbinursery.com/LiveInventoryDetail.aspx?CustomerID=954&amp;intItemKey=554&amp;ProductID=PLAXEXC17BB&amp;wWidth=700&amp;wHeight=510&amp;intHort=0&amp;imgProID=PLAXEXC17BB&amp;strUserType=Live","Platanus x 'Morton Circle' Exclamation!®")</f>
        <v>Platanus x 'Morton Circle' Exclamation!®</v>
      </c>
      <c r="B533" s="32" t="s">
        <v>42</v>
      </c>
      <c r="C533" s="32"/>
      <c r="D533" s="33">
        <v>187</v>
      </c>
      <c r="E533" s="34"/>
      <c r="F533" s="35">
        <v>13</v>
      </c>
      <c r="G533" s="32">
        <v>0</v>
      </c>
      <c r="H533" s="37">
        <v>0</v>
      </c>
      <c r="I533" s="38">
        <f t="shared" si="17"/>
        <v>0</v>
      </c>
    </row>
    <row r="534" spans="1:9" ht="10.199999999999999" customHeight="1" x14ac:dyDescent="0.3">
      <c r="A534" s="32" t="str">
        <f>HYPERLINK("http://avail.sbinursery.com/LiveInventoryDetail.aspx?CustomerID=954&amp;intItemKey=554&amp;ProductID=PLAXEXC25BB&amp;wWidth=700&amp;wHeight=510&amp;intHort=0&amp;imgProID=PLAXEXC25BB&amp;strUserType=Live","Platanus x 'Morton Circle' Exclamation!®")</f>
        <v>Platanus x 'Morton Circle' Exclamation!®</v>
      </c>
      <c r="B534" s="32" t="s">
        <v>44</v>
      </c>
      <c r="C534" s="32"/>
      <c r="D534" s="33">
        <v>270</v>
      </c>
      <c r="E534" s="34"/>
      <c r="F534" s="35">
        <v>1</v>
      </c>
      <c r="G534" s="32">
        <v>0</v>
      </c>
      <c r="H534" s="37">
        <v>0</v>
      </c>
      <c r="I534" s="38">
        <f t="shared" si="17"/>
        <v>0</v>
      </c>
    </row>
    <row r="535" spans="1:9" ht="10.199999999999999" customHeight="1" x14ac:dyDescent="0.3">
      <c r="A535" s="32" t="str">
        <f>HYPERLINK("http://avail.sbinursery.com/LiveInventoryDetail.aspx?CustomerID=954&amp;intItemKey=554&amp;ProductID=PLAXEXC30BB&amp;wWidth=700&amp;wHeight=510&amp;intHort=0&amp;imgProID=PLAXEXC30BB&amp;strUserType=Live","Platanus x 'Morton Circle' Exclamation!®")</f>
        <v>Platanus x 'Morton Circle' Exclamation!®</v>
      </c>
      <c r="B535" s="32" t="s">
        <v>75</v>
      </c>
      <c r="C535" s="32"/>
      <c r="D535" s="33">
        <v>310</v>
      </c>
      <c r="E535" s="34"/>
      <c r="F535" s="35">
        <v>1</v>
      </c>
      <c r="G535" s="32">
        <v>0</v>
      </c>
      <c r="H535" s="37">
        <v>0</v>
      </c>
      <c r="I535" s="38">
        <f t="shared" si="17"/>
        <v>0</v>
      </c>
    </row>
    <row r="536" spans="1:9" ht="10.199999999999999" customHeight="1" x14ac:dyDescent="0.3">
      <c r="A536" s="32" t="str">
        <f>HYPERLINK("http://avail.sbinursery.com/LiveInventoryDetail.aspx?CustomerID=954&amp;intItemKey=554&amp;ProductID=PLAXEXC35BB&amp;wWidth=700&amp;wHeight=510&amp;intHort=0&amp;imgProID=PLAXEXC35BB&amp;strUserType=Live","Platanus x 'Morton Circle' Exclamation!®")</f>
        <v>Platanus x 'Morton Circle' Exclamation!®</v>
      </c>
      <c r="B536" s="32" t="s">
        <v>76</v>
      </c>
      <c r="C536" s="32"/>
      <c r="D536" s="33">
        <v>356</v>
      </c>
      <c r="E536" s="34"/>
      <c r="F536" s="35">
        <v>1</v>
      </c>
      <c r="G536" s="32">
        <v>0</v>
      </c>
      <c r="H536" s="37">
        <v>0</v>
      </c>
      <c r="I536" s="38">
        <f t="shared" si="17"/>
        <v>0</v>
      </c>
    </row>
    <row r="537" spans="1:9" ht="10.199999999999999" customHeight="1" x14ac:dyDescent="0.3">
      <c r="A537" s="32" t="str">
        <f>HYPERLINK("http://avail.sbinursery.com/LiveInventoryDetail.aspx?CustomerID=954&amp;intItemKey=554&amp;ProductID=PLAXEXC45BB&amp;wWidth=700&amp;wHeight=510&amp;intHort=0&amp;imgProID=PLAXEXC45BB&amp;strUserType=Live","Platanus x 'Morton Circle' Exclamation!®")</f>
        <v>Platanus x 'Morton Circle' Exclamation!®</v>
      </c>
      <c r="B537" s="32" t="s">
        <v>93</v>
      </c>
      <c r="C537" s="32"/>
      <c r="D537" s="33">
        <v>451</v>
      </c>
      <c r="E537" s="34"/>
      <c r="F537" s="35">
        <v>4</v>
      </c>
      <c r="G537" s="32">
        <v>0</v>
      </c>
      <c r="H537" s="37">
        <v>0</v>
      </c>
      <c r="I537" s="38">
        <f t="shared" si="17"/>
        <v>0</v>
      </c>
    </row>
    <row r="538" spans="1:9" ht="10.199999999999999" customHeight="1" x14ac:dyDescent="0.3">
      <c r="A538" s="32" t="str">
        <f>HYPERLINK("http://avail.sbinursery.com/LiveInventoryDetail.aspx?CustomerID=954&amp;intItemKey=567&amp;ProductID=PRUSKWA12BB&amp;wWidth=700&amp;wHeight=510&amp;intHort=0&amp;imgProID=0&amp;strUserType=Live","Prunus serrulata 'Kwanzan'")</f>
        <v>Prunus serrulata 'Kwanzan'</v>
      </c>
      <c r="B538" s="32" t="s">
        <v>72</v>
      </c>
      <c r="C538" s="32"/>
      <c r="D538" s="33">
        <v>129</v>
      </c>
      <c r="E538" s="34"/>
      <c r="F538" s="35">
        <v>1</v>
      </c>
      <c r="G538" s="32">
        <v>0</v>
      </c>
      <c r="H538" s="37">
        <v>0</v>
      </c>
      <c r="I538" s="38">
        <f t="shared" si="17"/>
        <v>0</v>
      </c>
    </row>
    <row r="539" spans="1:9" ht="10.199999999999999" customHeight="1" x14ac:dyDescent="0.3">
      <c r="A539" s="32" t="str">
        <f>HYPERLINK("http://avail.sbinursery.com/LiveInventoryDetail.aspx?CustomerID=954&amp;intItemKey=567&amp;ProductID=PRUSKWA15BB&amp;wWidth=700&amp;wHeight=510&amp;intHort=0&amp;imgProID=PRUSKWA15BB&amp;strUserType=Live","Prunus serrulata 'Kwanzan'")</f>
        <v>Prunus serrulata 'Kwanzan'</v>
      </c>
      <c r="B539" s="32" t="s">
        <v>73</v>
      </c>
      <c r="C539" s="32"/>
      <c r="D539" s="33">
        <v>147</v>
      </c>
      <c r="E539" s="34"/>
      <c r="F539" s="35">
        <v>1</v>
      </c>
      <c r="G539" s="32">
        <v>0</v>
      </c>
      <c r="H539" s="37">
        <v>0</v>
      </c>
      <c r="I539" s="38">
        <f t="shared" si="17"/>
        <v>0</v>
      </c>
    </row>
    <row r="540" spans="1:9" ht="10.199999999999999" customHeight="1" x14ac:dyDescent="0.3">
      <c r="A540" s="32" t="str">
        <f>HYPERLINK("http://avail.sbinursery.com/LiveInventoryDetail.aspx?CustomerID=954&amp;intItemKey=573&amp;ProductID=PRUVRED15BB&amp;wWidth=700&amp;wHeight=510&amp;intHort=0&amp;imgProID=PRUVRED15BB&amp;strUserType=Live","Prunus virginiana 'Canada Red'")</f>
        <v>Prunus virginiana 'Canada Red'</v>
      </c>
      <c r="B540" s="32" t="s">
        <v>73</v>
      </c>
      <c r="C540" s="32"/>
      <c r="D540" s="33">
        <v>147</v>
      </c>
      <c r="E540" s="34"/>
      <c r="F540" s="35">
        <v>18</v>
      </c>
      <c r="G540" s="32">
        <v>0</v>
      </c>
      <c r="H540" s="37">
        <v>0</v>
      </c>
      <c r="I540" s="38">
        <f t="shared" si="17"/>
        <v>0</v>
      </c>
    </row>
    <row r="541" spans="1:9" ht="10.199999999999999" customHeight="1" x14ac:dyDescent="0.3">
      <c r="A541" s="32" t="str">
        <f>HYPERLINK("http://avail.sbinursery.com/LiveInventoryDetail.aspx?CustomerID=954&amp;intItemKey=573&amp;ProductID=PRUVRED17BB&amp;wWidth=700&amp;wHeight=510&amp;intHort=0&amp;imgProID=PRUVRED17BB&amp;strUserType=Live","Prunus virginiana 'Canada Red'")</f>
        <v>Prunus virginiana 'Canada Red'</v>
      </c>
      <c r="B541" s="32" t="s">
        <v>42</v>
      </c>
      <c r="C541" s="32"/>
      <c r="D541" s="33">
        <v>172</v>
      </c>
      <c r="E541" s="34"/>
      <c r="F541" s="35">
        <v>7</v>
      </c>
      <c r="G541" s="32">
        <v>0</v>
      </c>
      <c r="H541" s="37">
        <v>0</v>
      </c>
      <c r="I541" s="38">
        <f t="shared" si="17"/>
        <v>0</v>
      </c>
    </row>
    <row r="542" spans="1:9" ht="10.199999999999999" customHeight="1" x14ac:dyDescent="0.3">
      <c r="A542" s="32" t="str">
        <f>HYPERLINK("http://avail.sbinursery.com/LiveInventoryDetail.aspx?CustomerID=954&amp;intItemKey=573&amp;ProductID=PRUVRED20BB&amp;wWidth=700&amp;wHeight=510&amp;intHort=0&amp;imgProID=PRUVRED20BB&amp;strUserType=Live","Prunus virginiana 'Canada Red'")</f>
        <v>Prunus virginiana 'Canada Red'</v>
      </c>
      <c r="B542" s="32" t="s">
        <v>43</v>
      </c>
      <c r="C542" s="32"/>
      <c r="D542" s="33">
        <v>191</v>
      </c>
      <c r="E542" s="34"/>
      <c r="F542" s="35">
        <v>2</v>
      </c>
      <c r="G542" s="32">
        <v>0</v>
      </c>
      <c r="H542" s="37">
        <v>0</v>
      </c>
      <c r="I542" s="38">
        <f t="shared" si="17"/>
        <v>0</v>
      </c>
    </row>
    <row r="543" spans="1:9" ht="10.199999999999999" customHeight="1" x14ac:dyDescent="0.3">
      <c r="A543" s="32" t="str">
        <f>HYPERLINK("http://avail.sbinursery.com/LiveInventoryDetail.aspx?CustomerID=954&amp;intItemKey=847&amp;ProductID=PRUXSNO15BBK&amp;wWidth=700&amp;wHeight=510&amp;intHort=0&amp;imgProID=PRUXSNO15BBK&amp;strUserType=Live","Prunus x 'Snofozam' Snow Fountains® TG 5'")</f>
        <v>Prunus x 'Snofozam' Snow Fountains® TG 5'</v>
      </c>
      <c r="B543" s="32" t="s">
        <v>96</v>
      </c>
      <c r="C543" s="32"/>
      <c r="D543" s="33">
        <v>151</v>
      </c>
      <c r="E543" s="34"/>
      <c r="F543" s="35">
        <v>9</v>
      </c>
      <c r="G543" s="32">
        <v>0</v>
      </c>
      <c r="H543" s="37">
        <v>0</v>
      </c>
      <c r="I543" s="38">
        <f t="shared" ref="I543:I575" si="18">PRODUCT(D543,H543)</f>
        <v>0</v>
      </c>
    </row>
    <row r="544" spans="1:9" ht="10.199999999999999" customHeight="1" x14ac:dyDescent="0.3">
      <c r="A544" s="32" t="str">
        <f>HYPERLINK("http://avail.sbinursery.com/LiveInventoryDetail.aspx?CustomerID=954&amp;intItemKey=847&amp;ProductID=PRUXSNO20BBK&amp;wWidth=700&amp;wHeight=510&amp;intHort=0&amp;imgProID=PRUXSNO20BBK&amp;strUserType=Live","Prunus x 'Snofozam' Snow Fountains® TG 5'")</f>
        <v>Prunus x 'Snofozam' Snow Fountains® TG 5'</v>
      </c>
      <c r="B544" s="32" t="s">
        <v>97</v>
      </c>
      <c r="C544" s="32"/>
      <c r="D544" s="33">
        <v>197</v>
      </c>
      <c r="E544" s="34"/>
      <c r="F544" s="35">
        <v>9</v>
      </c>
      <c r="G544" s="32">
        <v>0</v>
      </c>
      <c r="H544" s="37">
        <v>0</v>
      </c>
      <c r="I544" s="38">
        <f t="shared" si="18"/>
        <v>0</v>
      </c>
    </row>
    <row r="545" spans="1:9" ht="10.199999999999999" customHeight="1" x14ac:dyDescent="0.3">
      <c r="A545" s="32" t="str">
        <f>HYPERLINK("http://avail.sbinursery.com/LiveInventoryDetail.aspx?CustomerID=954&amp;intItemKey=578&amp;ProductID=PRUXYED12BB&amp;wWidth=700&amp;wHeight=510&amp;intHort=0&amp;imgProID=0&amp;strUserType=Live","Prunus x yedoensis")</f>
        <v>Prunus x yedoensis</v>
      </c>
      <c r="B545" s="32" t="s">
        <v>72</v>
      </c>
      <c r="C545" s="32"/>
      <c r="D545" s="33">
        <v>129</v>
      </c>
      <c r="E545" s="34"/>
      <c r="F545" s="35">
        <v>2</v>
      </c>
      <c r="G545" s="32">
        <v>0</v>
      </c>
      <c r="H545" s="37">
        <v>0</v>
      </c>
      <c r="I545" s="38">
        <f t="shared" si="18"/>
        <v>0</v>
      </c>
    </row>
    <row r="546" spans="1:9" ht="10.199999999999999" customHeight="1" x14ac:dyDescent="0.3">
      <c r="A546" s="32" t="str">
        <f>HYPERLINK("http://avail.sbinursery.com/LiveInventoryDetail.aspx?CustomerID=954&amp;intItemKey=578&amp;ProductID=PRUXYED15BB&amp;wWidth=700&amp;wHeight=510&amp;intHort=0&amp;imgProID=PRUXYED15BB&amp;strUserType=Live","Prunus x yedoensis")</f>
        <v>Prunus x yedoensis</v>
      </c>
      <c r="B546" s="32" t="s">
        <v>73</v>
      </c>
      <c r="C546" s="32"/>
      <c r="D546" s="33">
        <v>147</v>
      </c>
      <c r="E546" s="34"/>
      <c r="F546" s="35">
        <v>3</v>
      </c>
      <c r="G546" s="32">
        <v>0</v>
      </c>
      <c r="H546" s="37">
        <v>0</v>
      </c>
      <c r="I546" s="38">
        <f t="shared" si="18"/>
        <v>0</v>
      </c>
    </row>
    <row r="547" spans="1:9" ht="10.199999999999999" customHeight="1" x14ac:dyDescent="0.3">
      <c r="A547" s="32" t="str">
        <f>HYPERLINK("http://avail.sbinursery.com/LiveInventoryDetail.aspx?CustomerID=954&amp;intItemKey=578&amp;ProductID=PRUXYED17BB&amp;wWidth=700&amp;wHeight=510&amp;intHort=0&amp;imgProID=PRUXYED17BB&amp;strUserType=Live","Prunus x yedoensis")</f>
        <v>Prunus x yedoensis</v>
      </c>
      <c r="B547" s="32" t="s">
        <v>42</v>
      </c>
      <c r="C547" s="32"/>
      <c r="D547" s="33">
        <v>172</v>
      </c>
      <c r="E547" s="34"/>
      <c r="F547" s="35">
        <v>1</v>
      </c>
      <c r="G547" s="32">
        <v>0</v>
      </c>
      <c r="H547" s="37">
        <v>0</v>
      </c>
      <c r="I547" s="38">
        <f t="shared" si="18"/>
        <v>0</v>
      </c>
    </row>
    <row r="548" spans="1:9" ht="10.199999999999999" customHeight="1" x14ac:dyDescent="0.3">
      <c r="A548" s="32" t="str">
        <f>HYPERLINK("http://avail.sbinursery.com/LiveInventoryDetail.aspx?CustomerID=954&amp;intItemKey=578&amp;ProductID=PRUXYED40BB&amp;wWidth=700&amp;wHeight=510&amp;intHort=0&amp;imgProID=PRUXYED40BB&amp;strUserType=Live","Prunus x yedoensis")</f>
        <v>Prunus x yedoensis</v>
      </c>
      <c r="B548" s="32" t="s">
        <v>91</v>
      </c>
      <c r="C548" s="32"/>
      <c r="D548" s="33">
        <v>362</v>
      </c>
      <c r="E548" s="34"/>
      <c r="F548" s="35">
        <v>3</v>
      </c>
      <c r="G548" s="32">
        <v>0</v>
      </c>
      <c r="H548" s="37">
        <v>0</v>
      </c>
      <c r="I548" s="38">
        <f t="shared" si="18"/>
        <v>0</v>
      </c>
    </row>
    <row r="549" spans="1:9" ht="10.199999999999999" customHeight="1" x14ac:dyDescent="0.3">
      <c r="A549" s="32" t="str">
        <f>HYPERLINK("http://avail.sbinursery.com/LiveInventoryDetail.aspx?CustomerID=954&amp;intItemKey=593&amp;ProductID=QUECOCC12BB&amp;wWidth=700&amp;wHeight=510&amp;intHort=0&amp;imgProID=0&amp;strUserType=Live","Quercus coccinea")</f>
        <v>Quercus coccinea</v>
      </c>
      <c r="B549" s="32" t="s">
        <v>72</v>
      </c>
      <c r="C549" s="32"/>
      <c r="D549" s="33">
        <v>129</v>
      </c>
      <c r="E549" s="34"/>
      <c r="F549" s="35">
        <v>3</v>
      </c>
      <c r="G549" s="32">
        <v>0</v>
      </c>
      <c r="H549" s="37">
        <v>0</v>
      </c>
      <c r="I549" s="38">
        <f t="shared" si="18"/>
        <v>0</v>
      </c>
    </row>
    <row r="550" spans="1:9" ht="10.199999999999999" customHeight="1" x14ac:dyDescent="0.3">
      <c r="A550" s="32" t="str">
        <f>HYPERLINK("http://avail.sbinursery.com/LiveInventoryDetail.aspx?CustomerID=954&amp;intItemKey=593&amp;ProductID=QUECOCC20BB&amp;wWidth=700&amp;wHeight=510&amp;intHort=0&amp;imgProID=QUECOCC20BB&amp;strUserType=Live","Quercus coccinea")</f>
        <v>Quercus coccinea</v>
      </c>
      <c r="B550" s="32" t="s">
        <v>43</v>
      </c>
      <c r="C550" s="32"/>
      <c r="D550" s="33">
        <v>191</v>
      </c>
      <c r="E550" s="34"/>
      <c r="F550" s="35">
        <v>1</v>
      </c>
      <c r="G550" s="32">
        <v>0</v>
      </c>
      <c r="H550" s="37">
        <v>0</v>
      </c>
      <c r="I550" s="38">
        <f t="shared" si="18"/>
        <v>0</v>
      </c>
    </row>
    <row r="551" spans="1:9" ht="10.199999999999999" customHeight="1" x14ac:dyDescent="0.3">
      <c r="A551" s="32" t="str">
        <f>HYPERLINK("http://avail.sbinursery.com/LiveInventoryDetail.aspx?CustomerID=954&amp;intItemKey=595&amp;ProductID=QUEMACR12BB&amp;wWidth=700&amp;wHeight=510&amp;intHort=0&amp;imgProID=0&amp;strUserType=Live","Quercus macrocarpa")</f>
        <v>Quercus macrocarpa</v>
      </c>
      <c r="B551" s="32" t="s">
        <v>72</v>
      </c>
      <c r="C551" s="32"/>
      <c r="D551" s="33">
        <v>129</v>
      </c>
      <c r="E551" s="34"/>
      <c r="F551" s="35">
        <v>14</v>
      </c>
      <c r="G551" s="32">
        <v>0</v>
      </c>
      <c r="H551" s="37">
        <v>0</v>
      </c>
      <c r="I551" s="38">
        <f t="shared" si="18"/>
        <v>0</v>
      </c>
    </row>
    <row r="552" spans="1:9" ht="10.199999999999999" customHeight="1" x14ac:dyDescent="0.3">
      <c r="A552" s="32" t="str">
        <f>HYPERLINK("http://avail.sbinursery.com/LiveInventoryDetail.aspx?CustomerID=954&amp;intItemKey=595&amp;ProductID=QUEMACR15BB&amp;wWidth=700&amp;wHeight=510&amp;intHort=0&amp;imgProID=QUEMACR15BB&amp;strUserType=Live","Quercus macrocarpa")</f>
        <v>Quercus macrocarpa</v>
      </c>
      <c r="B552" s="32" t="s">
        <v>73</v>
      </c>
      <c r="C552" s="32"/>
      <c r="D552" s="33">
        <v>147</v>
      </c>
      <c r="E552" s="34"/>
      <c r="F552" s="35">
        <v>31</v>
      </c>
      <c r="G552" s="32">
        <v>0</v>
      </c>
      <c r="H552" s="37">
        <v>0</v>
      </c>
      <c r="I552" s="38">
        <f t="shared" si="18"/>
        <v>0</v>
      </c>
    </row>
    <row r="553" spans="1:9" ht="10.199999999999999" customHeight="1" x14ac:dyDescent="0.3">
      <c r="A553" s="32" t="str">
        <f>HYPERLINK("http://avail.sbinursery.com/LiveInventoryDetail.aspx?CustomerID=954&amp;intItemKey=595&amp;ProductID=QUEMACR17BB&amp;wWidth=700&amp;wHeight=510&amp;intHort=0&amp;imgProID=QUEMACR17BB&amp;strUserType=Live","Quercus macrocarpa")</f>
        <v>Quercus macrocarpa</v>
      </c>
      <c r="B553" s="32" t="s">
        <v>42</v>
      </c>
      <c r="C553" s="32"/>
      <c r="D553" s="33">
        <v>172</v>
      </c>
      <c r="E553" s="34"/>
      <c r="F553" s="35">
        <v>4</v>
      </c>
      <c r="G553" s="32">
        <v>0</v>
      </c>
      <c r="H553" s="37">
        <v>0</v>
      </c>
      <c r="I553" s="38">
        <f t="shared" si="18"/>
        <v>0</v>
      </c>
    </row>
    <row r="554" spans="1:9" ht="10.199999999999999" customHeight="1" x14ac:dyDescent="0.3">
      <c r="A554" s="32" t="str">
        <f>HYPERLINK("http://avail.sbinursery.com/LiveInventoryDetail.aspx?CustomerID=954&amp;intItemKey=595&amp;ProductID=QUEMACR20BB&amp;wWidth=700&amp;wHeight=510&amp;intHort=0&amp;imgProID=QUEMACR20BB&amp;strUserType=Live","Quercus macrocarpa")</f>
        <v>Quercus macrocarpa</v>
      </c>
      <c r="B554" s="32" t="s">
        <v>43</v>
      </c>
      <c r="C554" s="32"/>
      <c r="D554" s="33">
        <v>191</v>
      </c>
      <c r="E554" s="34"/>
      <c r="F554" s="35">
        <v>3</v>
      </c>
      <c r="G554" s="32">
        <v>0</v>
      </c>
      <c r="H554" s="37">
        <v>0</v>
      </c>
      <c r="I554" s="38">
        <f t="shared" si="18"/>
        <v>0</v>
      </c>
    </row>
    <row r="555" spans="1:9" ht="10.199999999999999" customHeight="1" x14ac:dyDescent="0.3">
      <c r="A555" s="32" t="str">
        <f>HYPERLINK("http://avail.sbinursery.com/LiveInventoryDetail.aspx?CustomerID=954&amp;intItemKey=1159&amp;ProductID=QUEMUEH12BB&amp;wWidth=700&amp;wHeight=510&amp;intHort=0&amp;imgProID=0&amp;strUserType=Live","Quercus muehlenbergii")</f>
        <v>Quercus muehlenbergii</v>
      </c>
      <c r="B555" s="32" t="s">
        <v>72</v>
      </c>
      <c r="C555" s="32"/>
      <c r="D555" s="33">
        <v>129</v>
      </c>
      <c r="E555" s="34"/>
      <c r="F555" s="35">
        <v>8</v>
      </c>
      <c r="G555" s="32">
        <v>0</v>
      </c>
      <c r="H555" s="37">
        <v>0</v>
      </c>
      <c r="I555" s="38">
        <f t="shared" si="18"/>
        <v>0</v>
      </c>
    </row>
    <row r="556" spans="1:9" ht="10.199999999999999" customHeight="1" x14ac:dyDescent="0.3">
      <c r="A556" s="32" t="str">
        <f>HYPERLINK("http://avail.sbinursery.com/LiveInventoryDetail.aspx?CustomerID=954&amp;intItemKey=1159&amp;ProductID=QUEMUEH15BB&amp;wWidth=700&amp;wHeight=510&amp;intHort=0&amp;imgProID=QUEMUEH15BB&amp;strUserType=Live","Quercus muehlenbergii")</f>
        <v>Quercus muehlenbergii</v>
      </c>
      <c r="B556" s="32" t="s">
        <v>73</v>
      </c>
      <c r="C556" s="32"/>
      <c r="D556" s="33">
        <v>147</v>
      </c>
      <c r="E556" s="34"/>
      <c r="F556" s="35">
        <v>11</v>
      </c>
      <c r="G556" s="32">
        <v>0</v>
      </c>
      <c r="H556" s="37">
        <v>0</v>
      </c>
      <c r="I556" s="38">
        <f t="shared" si="18"/>
        <v>0</v>
      </c>
    </row>
    <row r="557" spans="1:9" ht="10.199999999999999" customHeight="1" x14ac:dyDescent="0.3">
      <c r="A557" s="32" t="str">
        <f>HYPERLINK("http://avail.sbinursery.com/LiveInventoryDetail.aspx?CustomerID=954&amp;intItemKey=1159&amp;ProductID=QUEMUEH17BB&amp;wWidth=700&amp;wHeight=510&amp;intHort=0&amp;imgProID=QUEMUEH17BB&amp;strUserType=Live","Quercus muehlenbergii")</f>
        <v>Quercus muehlenbergii</v>
      </c>
      <c r="B557" s="32" t="s">
        <v>42</v>
      </c>
      <c r="C557" s="32"/>
      <c r="D557" s="33">
        <v>172</v>
      </c>
      <c r="E557" s="34"/>
      <c r="F557" s="35">
        <v>1</v>
      </c>
      <c r="G557" s="32">
        <v>0</v>
      </c>
      <c r="H557" s="37">
        <v>0</v>
      </c>
      <c r="I557" s="38">
        <f t="shared" si="18"/>
        <v>0</v>
      </c>
    </row>
    <row r="558" spans="1:9" ht="10.199999999999999" customHeight="1" x14ac:dyDescent="0.3">
      <c r="A558" s="32" t="str">
        <f>HYPERLINK("http://avail.sbinursery.com/LiveInventoryDetail.aspx?CustomerID=954&amp;intItemKey=1159&amp;ProductID=QUEMUEH25BB&amp;wWidth=700&amp;wHeight=510&amp;intHort=0&amp;imgProID=QUEMUEH25BB&amp;strUserType=Live","Quercus muehlenbergii")</f>
        <v>Quercus muehlenbergii</v>
      </c>
      <c r="B558" s="32" t="s">
        <v>44</v>
      </c>
      <c r="C558" s="32"/>
      <c r="D558" s="33">
        <v>249</v>
      </c>
      <c r="E558" s="34"/>
      <c r="F558" s="35">
        <v>1</v>
      </c>
      <c r="G558" s="32">
        <v>0</v>
      </c>
      <c r="H558" s="37">
        <v>0</v>
      </c>
      <c r="I558" s="38">
        <f t="shared" si="18"/>
        <v>0</v>
      </c>
    </row>
    <row r="559" spans="1:9" ht="10.199999999999999" customHeight="1" x14ac:dyDescent="0.3">
      <c r="A559" s="32" t="str">
        <f>HYPERLINK("http://avail.sbinursery.com/LiveInventoryDetail.aspx?CustomerID=954&amp;intItemKey=596&amp;ProductID=QUEPALU15BB&amp;wWidth=700&amp;wHeight=510&amp;intHort=0&amp;imgProID=0&amp;strUserType=Live","Quercus palustris")</f>
        <v>Quercus palustris</v>
      </c>
      <c r="B559" s="32" t="s">
        <v>73</v>
      </c>
      <c r="C559" s="32"/>
      <c r="D559" s="33">
        <v>147</v>
      </c>
      <c r="E559" s="34"/>
      <c r="F559" s="35">
        <v>7</v>
      </c>
      <c r="G559" s="32">
        <v>0</v>
      </c>
      <c r="H559" s="37">
        <v>0</v>
      </c>
      <c r="I559" s="38">
        <f t="shared" si="18"/>
        <v>0</v>
      </c>
    </row>
    <row r="560" spans="1:9" ht="10.199999999999999" customHeight="1" x14ac:dyDescent="0.3">
      <c r="A560" s="32" t="str">
        <f>HYPERLINK("http://avail.sbinursery.com/LiveInventoryDetail.aspx?CustomerID=954&amp;intItemKey=596&amp;ProductID=QUEPALU17BB&amp;wWidth=700&amp;wHeight=510&amp;intHort=0&amp;imgProID=QUEPALU17BB&amp;strUserType=Live","Quercus palustris")</f>
        <v>Quercus palustris</v>
      </c>
      <c r="B560" s="32" t="s">
        <v>42</v>
      </c>
      <c r="C560" s="32"/>
      <c r="D560" s="33">
        <v>172</v>
      </c>
      <c r="E560" s="34"/>
      <c r="F560" s="35">
        <v>18</v>
      </c>
      <c r="G560" s="32">
        <v>0</v>
      </c>
      <c r="H560" s="37">
        <v>0</v>
      </c>
      <c r="I560" s="38">
        <f t="shared" si="18"/>
        <v>0</v>
      </c>
    </row>
    <row r="561" spans="1:9" ht="10.199999999999999" customHeight="1" x14ac:dyDescent="0.3">
      <c r="A561" s="32" t="str">
        <f>HYPERLINK("http://avail.sbinursery.com/LiveInventoryDetail.aspx?CustomerID=954&amp;intItemKey=596&amp;ProductID=QUEPALU20BB&amp;wWidth=700&amp;wHeight=510&amp;intHort=0&amp;imgProID=QUEPALU20BB&amp;strUserType=Live","Quercus palustris")</f>
        <v>Quercus palustris</v>
      </c>
      <c r="B561" s="32" t="s">
        <v>43</v>
      </c>
      <c r="C561" s="32"/>
      <c r="D561" s="33">
        <v>191</v>
      </c>
      <c r="E561" s="34"/>
      <c r="F561" s="35">
        <v>9</v>
      </c>
      <c r="G561" s="32">
        <v>0</v>
      </c>
      <c r="H561" s="37">
        <v>0</v>
      </c>
      <c r="I561" s="38">
        <f t="shared" si="18"/>
        <v>0</v>
      </c>
    </row>
    <row r="562" spans="1:9" ht="10.199999999999999" customHeight="1" x14ac:dyDescent="0.3">
      <c r="A562" s="32" t="str">
        <f>HYPERLINK("http://avail.sbinursery.com/LiveInventoryDetail.aspx?CustomerID=954&amp;intItemKey=596&amp;ProductID=QUEPALU25BB&amp;wWidth=700&amp;wHeight=510&amp;intHort=0&amp;imgProID=QUEPALU25BB&amp;strUserType=Live","Quercus palustris")</f>
        <v>Quercus palustris</v>
      </c>
      <c r="B562" s="32" t="s">
        <v>44</v>
      </c>
      <c r="C562" s="32"/>
      <c r="D562" s="33">
        <v>249</v>
      </c>
      <c r="E562" s="34"/>
      <c r="F562" s="35">
        <v>1</v>
      </c>
      <c r="G562" s="32">
        <v>0</v>
      </c>
      <c r="H562" s="37">
        <v>0</v>
      </c>
      <c r="I562" s="38">
        <f t="shared" si="18"/>
        <v>0</v>
      </c>
    </row>
    <row r="563" spans="1:9" ht="10.199999999999999" customHeight="1" x14ac:dyDescent="0.3">
      <c r="A563" s="32" t="str">
        <f>HYPERLINK("http://avail.sbinursery.com/LiveInventoryDetail.aspx?CustomerID=954&amp;intItemKey=1870&amp;ProductID=QUEPHEL15BB&amp;wWidth=700&amp;wHeight=510&amp;intHort=0&amp;imgProID=0&amp;strUserType=Live","Quercus phellos")</f>
        <v>Quercus phellos</v>
      </c>
      <c r="B563" s="32" t="s">
        <v>73</v>
      </c>
      <c r="C563" s="32"/>
      <c r="D563" s="33">
        <v>147</v>
      </c>
      <c r="E563" s="34"/>
      <c r="F563" s="35">
        <v>2</v>
      </c>
      <c r="G563" s="32">
        <v>0</v>
      </c>
      <c r="H563" s="37">
        <v>0</v>
      </c>
      <c r="I563" s="38">
        <f t="shared" si="18"/>
        <v>0</v>
      </c>
    </row>
    <row r="564" spans="1:9" ht="10.199999999999999" customHeight="1" x14ac:dyDescent="0.3">
      <c r="A564" s="32" t="str">
        <f>HYPERLINK("http://avail.sbinursery.com/LiveInventoryDetail.aspx?CustomerID=954&amp;intItemKey=1870&amp;ProductID=QUEPHEL30BB&amp;wWidth=700&amp;wHeight=510&amp;intHort=0&amp;imgProID=0&amp;strUserType=Live","Quercus phellos")</f>
        <v>Quercus phellos</v>
      </c>
      <c r="B564" s="32" t="s">
        <v>75</v>
      </c>
      <c r="C564" s="32"/>
      <c r="D564" s="33">
        <v>286</v>
      </c>
      <c r="E564" s="34"/>
      <c r="F564" s="35">
        <v>1</v>
      </c>
      <c r="G564" s="32">
        <v>0</v>
      </c>
      <c r="H564" s="37">
        <v>0</v>
      </c>
      <c r="I564" s="38">
        <f t="shared" si="18"/>
        <v>0</v>
      </c>
    </row>
    <row r="565" spans="1:9" ht="10.199999999999999" customHeight="1" x14ac:dyDescent="0.3">
      <c r="A565" s="32" t="str">
        <f>HYPERLINK("http://avail.sbinursery.com/LiveInventoryDetail.aspx?CustomerID=954&amp;intItemKey=601&amp;ProductID=QUERUBR12BB&amp;wWidth=700&amp;wHeight=510&amp;intHort=0&amp;imgProID=0&amp;strUserType=Live","Quercus rubra")</f>
        <v>Quercus rubra</v>
      </c>
      <c r="B565" s="32" t="s">
        <v>72</v>
      </c>
      <c r="C565" s="32"/>
      <c r="D565" s="33">
        <v>129</v>
      </c>
      <c r="E565" s="34"/>
      <c r="F565" s="35">
        <v>20</v>
      </c>
      <c r="G565" s="32">
        <v>0</v>
      </c>
      <c r="H565" s="37">
        <v>0</v>
      </c>
      <c r="I565" s="38">
        <f t="shared" si="18"/>
        <v>0</v>
      </c>
    </row>
    <row r="566" spans="1:9" ht="10.199999999999999" customHeight="1" x14ac:dyDescent="0.3">
      <c r="A566" s="32" t="str">
        <f>HYPERLINK("http://avail.sbinursery.com/LiveInventoryDetail.aspx?CustomerID=954&amp;intItemKey=601&amp;ProductID=QUERUBR15BB&amp;wWidth=700&amp;wHeight=510&amp;intHort=0&amp;imgProID=QUERUBR15BB&amp;strUserType=Live","Quercus rubra")</f>
        <v>Quercus rubra</v>
      </c>
      <c r="B566" s="32" t="s">
        <v>73</v>
      </c>
      <c r="C566" s="32"/>
      <c r="D566" s="33">
        <v>147</v>
      </c>
      <c r="E566" s="34"/>
      <c r="F566" s="35">
        <v>38</v>
      </c>
      <c r="G566" s="32">
        <v>0</v>
      </c>
      <c r="H566" s="37">
        <v>0</v>
      </c>
      <c r="I566" s="38">
        <f t="shared" si="18"/>
        <v>0</v>
      </c>
    </row>
    <row r="567" spans="1:9" ht="10.199999999999999" customHeight="1" x14ac:dyDescent="0.3">
      <c r="A567" s="32" t="str">
        <f>HYPERLINK("http://avail.sbinursery.com/LiveInventoryDetail.aspx?CustomerID=954&amp;intItemKey=601&amp;ProductID=QUERUBR17BB&amp;wWidth=700&amp;wHeight=510&amp;intHort=0&amp;imgProID=QUERUBR17BB&amp;strUserType=Live","Quercus rubra")</f>
        <v>Quercus rubra</v>
      </c>
      <c r="B567" s="32" t="s">
        <v>42</v>
      </c>
      <c r="C567" s="32"/>
      <c r="D567" s="33">
        <v>172</v>
      </c>
      <c r="E567" s="34"/>
      <c r="F567" s="35">
        <v>5</v>
      </c>
      <c r="G567" s="32">
        <v>0</v>
      </c>
      <c r="H567" s="37">
        <v>0</v>
      </c>
      <c r="I567" s="38">
        <f t="shared" si="18"/>
        <v>0</v>
      </c>
    </row>
    <row r="568" spans="1:9" ht="10.199999999999999" customHeight="1" x14ac:dyDescent="0.3">
      <c r="A568" s="32" t="str">
        <f>HYPERLINK("http://avail.sbinursery.com/LiveInventoryDetail.aspx?CustomerID=954&amp;intItemKey=602&amp;ProductID=QUESHUM20BB&amp;wWidth=700&amp;wHeight=510&amp;intHort=0&amp;imgProID=QUESHUM20BB&amp;strUserType=Live","Quercus shumardii")</f>
        <v>Quercus shumardii</v>
      </c>
      <c r="B568" s="32" t="s">
        <v>43</v>
      </c>
      <c r="C568" s="32"/>
      <c r="D568" s="33">
        <v>191</v>
      </c>
      <c r="E568" s="34"/>
      <c r="F568" s="35">
        <v>1</v>
      </c>
      <c r="G568" s="32">
        <v>0</v>
      </c>
      <c r="H568" s="37">
        <v>0</v>
      </c>
      <c r="I568" s="38">
        <f t="shared" si="18"/>
        <v>0</v>
      </c>
    </row>
    <row r="569" spans="1:9" ht="10.199999999999999" customHeight="1" x14ac:dyDescent="0.3">
      <c r="A569" s="32" t="str">
        <f>HYPERLINK("http://avail.sbinursery.com/LiveInventoryDetail.aspx?CustomerID=954&amp;intItemKey=602&amp;ProductID=QUESHUM30BB&amp;wWidth=700&amp;wHeight=510&amp;intHort=0&amp;imgProID=QUESHUM30BB&amp;strUserType=Live","Quercus shumardii")</f>
        <v>Quercus shumardii</v>
      </c>
      <c r="B569" s="32" t="s">
        <v>75</v>
      </c>
      <c r="C569" s="32"/>
      <c r="D569" s="33">
        <v>286</v>
      </c>
      <c r="E569" s="34"/>
      <c r="F569" s="35">
        <v>1</v>
      </c>
      <c r="G569" s="32">
        <v>0</v>
      </c>
      <c r="H569" s="37">
        <v>0</v>
      </c>
      <c r="I569" s="38">
        <f t="shared" si="18"/>
        <v>0</v>
      </c>
    </row>
    <row r="570" spans="1:9" ht="10.199999999999999" customHeight="1" x14ac:dyDescent="0.3">
      <c r="A570" s="32" t="str">
        <f>HYPERLINK("http://avail.sbinursery.com/LiveInventoryDetail.aspx?CustomerID=954&amp;intItemKey=1967&amp;ProductID=SALBABY20BB&amp;wWidth=700&amp;wHeight=510&amp;intHort=0&amp;imgProID=0&amp;strUserType=Live","Salix babylonica")</f>
        <v>Salix babylonica</v>
      </c>
      <c r="B570" s="32" t="s">
        <v>43</v>
      </c>
      <c r="C570" s="32"/>
      <c r="D570" s="33">
        <v>177</v>
      </c>
      <c r="E570" s="34"/>
      <c r="F570" s="35">
        <v>2</v>
      </c>
      <c r="G570" s="32">
        <v>0</v>
      </c>
      <c r="H570" s="37">
        <v>0</v>
      </c>
      <c r="I570" s="38">
        <f t="shared" si="18"/>
        <v>0</v>
      </c>
    </row>
    <row r="571" spans="1:9" ht="10.199999999999999" customHeight="1" x14ac:dyDescent="0.3">
      <c r="A571" s="32" t="str">
        <f>HYPERLINK("http://avail.sbinursery.com/LiveInventoryDetail.aspx?CustomerID=954&amp;intItemKey=1967&amp;ProductID=SALBABY25BB&amp;wWidth=700&amp;wHeight=510&amp;intHort=0&amp;imgProID=0&amp;strUserType=Live","Salix babylonica")</f>
        <v>Salix babylonica</v>
      </c>
      <c r="B571" s="32" t="s">
        <v>44</v>
      </c>
      <c r="C571" s="32"/>
      <c r="D571" s="33">
        <v>231</v>
      </c>
      <c r="E571" s="34"/>
      <c r="F571" s="35">
        <v>2</v>
      </c>
      <c r="G571" s="32">
        <v>0</v>
      </c>
      <c r="H571" s="37">
        <v>0</v>
      </c>
      <c r="I571" s="38">
        <f t="shared" si="18"/>
        <v>0</v>
      </c>
    </row>
    <row r="572" spans="1:9" ht="10.199999999999999" customHeight="1" x14ac:dyDescent="0.3">
      <c r="A572" s="32" t="str">
        <f>HYPERLINK("http://avail.sbinursery.com/LiveInventoryDetail.aspx?CustomerID=954&amp;intItemKey=1967&amp;ProductID=SALBABY30BB&amp;wWidth=700&amp;wHeight=510&amp;intHort=0&amp;imgProID=0&amp;strUserType=Live","Salix babylonica")</f>
        <v>Salix babylonica</v>
      </c>
      <c r="B572" s="32" t="s">
        <v>75</v>
      </c>
      <c r="C572" s="32"/>
      <c r="D572" s="33">
        <v>265</v>
      </c>
      <c r="E572" s="34"/>
      <c r="F572" s="35">
        <v>3</v>
      </c>
      <c r="G572" s="32">
        <v>0</v>
      </c>
      <c r="H572" s="37">
        <v>0</v>
      </c>
      <c r="I572" s="38">
        <f t="shared" si="18"/>
        <v>0</v>
      </c>
    </row>
    <row r="573" spans="1:9" ht="10.199999999999999" customHeight="1" x14ac:dyDescent="0.3">
      <c r="A573" s="32" t="str">
        <f>HYPERLINK("http://avail.sbinursery.com/LiveInventoryDetail.aspx?CustomerID=954&amp;intItemKey=854&amp;ProductID=SYRRSIL12BB&amp;wWidth=700&amp;wHeight=510&amp;intHort=0&amp;imgProID=0&amp;strUserType=Live","Syringa reticulata 'Ivory Silk'")</f>
        <v>Syringa reticulata 'Ivory Silk'</v>
      </c>
      <c r="B573" s="32" t="s">
        <v>72</v>
      </c>
      <c r="C573" s="32"/>
      <c r="D573" s="33">
        <v>140</v>
      </c>
      <c r="E573" s="34"/>
      <c r="F573" s="35">
        <v>32</v>
      </c>
      <c r="G573" s="32">
        <v>0</v>
      </c>
      <c r="H573" s="37">
        <v>0</v>
      </c>
      <c r="I573" s="38">
        <f t="shared" si="18"/>
        <v>0</v>
      </c>
    </row>
    <row r="574" spans="1:9" ht="10.199999999999999" customHeight="1" x14ac:dyDescent="0.3">
      <c r="A574" s="32" t="str">
        <f>HYPERLINK("http://avail.sbinursery.com/LiveInventoryDetail.aspx?CustomerID=954&amp;intItemKey=854&amp;ProductID=SYRRSIL15BB&amp;wWidth=700&amp;wHeight=510&amp;intHort=0&amp;imgProID=SYRRSIL15BB&amp;strUserType=Live","Syringa reticulata 'Ivory Silk'")</f>
        <v>Syringa reticulata 'Ivory Silk'</v>
      </c>
      <c r="B574" s="32" t="s">
        <v>73</v>
      </c>
      <c r="C574" s="32"/>
      <c r="D574" s="33">
        <v>159</v>
      </c>
      <c r="E574" s="34"/>
      <c r="F574" s="35">
        <v>28</v>
      </c>
      <c r="G574" s="32">
        <v>0</v>
      </c>
      <c r="H574" s="37">
        <v>0</v>
      </c>
      <c r="I574" s="38">
        <f t="shared" si="18"/>
        <v>0</v>
      </c>
    </row>
    <row r="575" spans="1:9" ht="10.199999999999999" customHeight="1" x14ac:dyDescent="0.3">
      <c r="A575" s="32" t="str">
        <f>HYPERLINK("http://avail.sbinursery.com/LiveInventoryDetail.aspx?CustomerID=954&amp;intItemKey=1878&amp;ProductID=SYRRSNO12BB&amp;wWidth=700&amp;wHeight=510&amp;intHort=0&amp;imgProID=0&amp;strUserType=Live","Syringa reticulata 'Bailnce' PP20,458 Snowdance™")</f>
        <v>Syringa reticulata 'Bailnce' PP20,458 Snowdance™</v>
      </c>
      <c r="B575" s="32" t="s">
        <v>72</v>
      </c>
      <c r="C575" s="32"/>
      <c r="D575" s="33">
        <v>140</v>
      </c>
      <c r="E575" s="34"/>
      <c r="F575" s="35">
        <v>2</v>
      </c>
      <c r="G575" s="32">
        <v>0</v>
      </c>
      <c r="H575" s="37">
        <v>0</v>
      </c>
      <c r="I575" s="38">
        <f t="shared" si="18"/>
        <v>0</v>
      </c>
    </row>
    <row r="576" spans="1:9" ht="10.199999999999999" customHeight="1" x14ac:dyDescent="0.3">
      <c r="A576" s="32" t="str">
        <f>HYPERLINK("http://avail.sbinursery.com/LiveInventoryDetail.aspx?CustomerID=954&amp;intItemKey=856&amp;ProductID=TILCCOR15BB&amp;wWidth=700&amp;wHeight=510&amp;intHort=0&amp;imgProID=TILCCOR15BB&amp;strUserType=Live","Tilia cordata 'Corzam' Corinthian®")</f>
        <v>Tilia cordata 'Corzam' Corinthian®</v>
      </c>
      <c r="B576" s="32" t="s">
        <v>73</v>
      </c>
      <c r="C576" s="32"/>
      <c r="D576" s="33">
        <v>154</v>
      </c>
      <c r="E576" s="34"/>
      <c r="F576" s="35">
        <v>3</v>
      </c>
      <c r="G576" s="32">
        <v>0</v>
      </c>
      <c r="H576" s="37">
        <v>0</v>
      </c>
      <c r="I576" s="38">
        <f t="shared" ref="I576:I607" si="19">PRODUCT(D576,H576)</f>
        <v>0</v>
      </c>
    </row>
    <row r="577" spans="1:9" ht="10.199999999999999" customHeight="1" x14ac:dyDescent="0.3">
      <c r="A577" s="32" t="str">
        <f>HYPERLINK("http://avail.sbinursery.com/LiveInventoryDetail.aspx?CustomerID=954&amp;intItemKey=856&amp;ProductID=TILCCOR17BB&amp;wWidth=700&amp;wHeight=510&amp;intHort=0&amp;imgProID=TILCCOR17BB&amp;strUserType=Live","Tilia cordata 'Corzam' Corinthian®")</f>
        <v>Tilia cordata 'Corzam' Corinthian®</v>
      </c>
      <c r="B577" s="32" t="s">
        <v>42</v>
      </c>
      <c r="C577" s="32"/>
      <c r="D577" s="33">
        <v>181</v>
      </c>
      <c r="E577" s="34"/>
      <c r="F577" s="35">
        <v>3</v>
      </c>
      <c r="G577" s="32">
        <v>0</v>
      </c>
      <c r="H577" s="37">
        <v>0</v>
      </c>
      <c r="I577" s="38">
        <f t="shared" si="19"/>
        <v>0</v>
      </c>
    </row>
    <row r="578" spans="1:9" ht="10.199999999999999" customHeight="1" x14ac:dyDescent="0.3">
      <c r="A578" s="32" t="str">
        <f>HYPERLINK("http://avail.sbinursery.com/LiveInventoryDetail.aspx?CustomerID=954&amp;intItemKey=856&amp;ProductID=TILCCOR20BB&amp;wWidth=700&amp;wHeight=510&amp;intHort=0&amp;imgProID=TILCCOR20BB&amp;strUserType=Live","Tilia cordata 'Corzam' Corinthian®")</f>
        <v>Tilia cordata 'Corzam' Corinthian®</v>
      </c>
      <c r="B578" s="32" t="s">
        <v>43</v>
      </c>
      <c r="C578" s="32"/>
      <c r="D578" s="33">
        <v>201</v>
      </c>
      <c r="E578" s="34"/>
      <c r="F578" s="35">
        <v>6</v>
      </c>
      <c r="G578" s="32">
        <v>0</v>
      </c>
      <c r="H578" s="37">
        <v>0</v>
      </c>
      <c r="I578" s="38">
        <f t="shared" si="19"/>
        <v>0</v>
      </c>
    </row>
    <row r="579" spans="1:9" ht="10.199999999999999" customHeight="1" x14ac:dyDescent="0.3">
      <c r="A579" s="32" t="str">
        <f>HYPERLINK("http://avail.sbinursery.com/LiveInventoryDetail.aspx?CustomerID=954&amp;intItemKey=856&amp;ProductID=TILCCOR25BB&amp;wWidth=700&amp;wHeight=510&amp;intHort=0&amp;imgProID=TILCCOR25BB&amp;strUserType=Live","Tilia cordata 'Corzam' Corinthian®")</f>
        <v>Tilia cordata 'Corzam' Corinthian®</v>
      </c>
      <c r="B579" s="32" t="s">
        <v>44</v>
      </c>
      <c r="C579" s="32"/>
      <c r="D579" s="33">
        <v>262</v>
      </c>
      <c r="E579" s="34"/>
      <c r="F579" s="35">
        <v>3</v>
      </c>
      <c r="G579" s="32">
        <v>0</v>
      </c>
      <c r="H579" s="37">
        <v>0</v>
      </c>
      <c r="I579" s="38">
        <f t="shared" si="19"/>
        <v>0</v>
      </c>
    </row>
    <row r="580" spans="1:9" ht="10.199999999999999" customHeight="1" x14ac:dyDescent="0.3">
      <c r="A580" s="32" t="str">
        <f>HYPERLINK("http://avail.sbinursery.com/LiveInventoryDetail.aspx?CustomerID=954&amp;intItemKey=856&amp;ProductID=TILCCOR30BB&amp;wWidth=700&amp;wHeight=510&amp;intHort=0&amp;imgProID=TILCCOR30BB&amp;strUserType=Live","Tilia cordata 'Corzam' Corinthian®")</f>
        <v>Tilia cordata 'Corzam' Corinthian®</v>
      </c>
      <c r="B580" s="32" t="s">
        <v>75</v>
      </c>
      <c r="C580" s="32"/>
      <c r="D580" s="33">
        <v>301</v>
      </c>
      <c r="E580" s="34"/>
      <c r="F580" s="35">
        <v>5</v>
      </c>
      <c r="G580" s="32">
        <v>0</v>
      </c>
      <c r="H580" s="37">
        <v>0</v>
      </c>
      <c r="I580" s="38">
        <f t="shared" si="19"/>
        <v>0</v>
      </c>
    </row>
    <row r="581" spans="1:9" ht="10.199999999999999" customHeight="1" x14ac:dyDescent="0.3">
      <c r="A581" s="32" t="str">
        <f>HYPERLINK("http://avail.sbinursery.com/LiveInventoryDetail.aspx?CustomerID=954&amp;intItemKey=857&amp;ProductID=TILCGRE12BB&amp;wWidth=700&amp;wHeight=510&amp;intHort=0&amp;imgProID=0&amp;strUserType=Live","Tilia cordata 'Greenspire'")</f>
        <v>Tilia cordata 'Greenspire'</v>
      </c>
      <c r="B581" s="32" t="s">
        <v>72</v>
      </c>
      <c r="C581" s="32"/>
      <c r="D581" s="33">
        <v>136</v>
      </c>
      <c r="E581" s="34"/>
      <c r="F581" s="35">
        <v>6</v>
      </c>
      <c r="G581" s="32">
        <v>0</v>
      </c>
      <c r="H581" s="37">
        <v>0</v>
      </c>
      <c r="I581" s="38">
        <f t="shared" si="19"/>
        <v>0</v>
      </c>
    </row>
    <row r="582" spans="1:9" ht="10.199999999999999" customHeight="1" x14ac:dyDescent="0.3">
      <c r="A582" s="32" t="str">
        <f>HYPERLINK("http://avail.sbinursery.com/LiveInventoryDetail.aspx?CustomerID=954&amp;intItemKey=857&amp;ProductID=TILCGRE15BB&amp;wWidth=700&amp;wHeight=510&amp;intHort=0&amp;imgProID=TILCGRE15BB&amp;strUserType=Live","Tilia cordata 'Greenspire'")</f>
        <v>Tilia cordata 'Greenspire'</v>
      </c>
      <c r="B582" s="32" t="s">
        <v>73</v>
      </c>
      <c r="C582" s="32"/>
      <c r="D582" s="33">
        <v>154</v>
      </c>
      <c r="E582" s="34"/>
      <c r="F582" s="35">
        <v>36</v>
      </c>
      <c r="G582" s="32">
        <v>0</v>
      </c>
      <c r="H582" s="37">
        <v>0</v>
      </c>
      <c r="I582" s="38">
        <f t="shared" si="19"/>
        <v>0</v>
      </c>
    </row>
    <row r="583" spans="1:9" ht="10.199999999999999" customHeight="1" x14ac:dyDescent="0.3">
      <c r="A583" s="32" t="str">
        <f>HYPERLINK("http://avail.sbinursery.com/LiveInventoryDetail.aspx?CustomerID=954&amp;intItemKey=857&amp;ProductID=TILCGRE17BB&amp;wWidth=700&amp;wHeight=510&amp;intHort=0&amp;imgProID=TILCGRE17BB&amp;strUserType=Live","Tilia cordata 'Greenspire'")</f>
        <v>Tilia cordata 'Greenspire'</v>
      </c>
      <c r="B583" s="32" t="s">
        <v>42</v>
      </c>
      <c r="C583" s="32"/>
      <c r="D583" s="33">
        <v>181</v>
      </c>
      <c r="E583" s="34"/>
      <c r="F583" s="35">
        <v>6</v>
      </c>
      <c r="G583" s="32">
        <v>0</v>
      </c>
      <c r="H583" s="37">
        <v>0</v>
      </c>
      <c r="I583" s="38">
        <f t="shared" si="19"/>
        <v>0</v>
      </c>
    </row>
    <row r="584" spans="1:9" ht="10.199999999999999" customHeight="1" x14ac:dyDescent="0.3">
      <c r="A584" s="32" t="str">
        <f>HYPERLINK("http://avail.sbinursery.com/LiveInventoryDetail.aspx?CustomerID=954&amp;intItemKey=857&amp;ProductID=TILCGRE20BB&amp;wWidth=700&amp;wHeight=510&amp;intHort=0&amp;imgProID=TILCGRE20BB&amp;strUserType=Live","Tilia cordata 'Greenspire'")</f>
        <v>Tilia cordata 'Greenspire'</v>
      </c>
      <c r="B584" s="32" t="s">
        <v>43</v>
      </c>
      <c r="C584" s="32"/>
      <c r="D584" s="33">
        <v>201</v>
      </c>
      <c r="E584" s="34"/>
      <c r="F584" s="35">
        <v>10</v>
      </c>
      <c r="G584" s="32">
        <v>0</v>
      </c>
      <c r="H584" s="37">
        <v>0</v>
      </c>
      <c r="I584" s="38">
        <f t="shared" si="19"/>
        <v>0</v>
      </c>
    </row>
    <row r="585" spans="1:9" ht="10.199999999999999" customHeight="1" x14ac:dyDescent="0.3">
      <c r="A585" s="32" t="str">
        <f>HYPERLINK("http://avail.sbinursery.com/LiveInventoryDetail.aspx?CustomerID=954&amp;intItemKey=857&amp;ProductID=TILCGRE25BB&amp;wWidth=700&amp;wHeight=510&amp;intHort=0&amp;imgProID=TILCGRE25BB&amp;strUserType=Live","Tilia cordata 'Greenspire'")</f>
        <v>Tilia cordata 'Greenspire'</v>
      </c>
      <c r="B585" s="32" t="s">
        <v>44</v>
      </c>
      <c r="C585" s="32"/>
      <c r="D585" s="33">
        <v>262</v>
      </c>
      <c r="E585" s="34"/>
      <c r="F585" s="35">
        <v>12</v>
      </c>
      <c r="G585" s="32">
        <v>0</v>
      </c>
      <c r="H585" s="37">
        <v>0</v>
      </c>
      <c r="I585" s="38">
        <f t="shared" si="19"/>
        <v>0</v>
      </c>
    </row>
    <row r="586" spans="1:9" ht="10.199999999999999" customHeight="1" x14ac:dyDescent="0.3">
      <c r="A586" s="32" t="str">
        <f>HYPERLINK("http://avail.sbinursery.com/LiveInventoryDetail.aspx?CustomerID=954&amp;intItemKey=857&amp;ProductID=TILCGRE30BB&amp;wWidth=700&amp;wHeight=510&amp;intHort=0&amp;imgProID=TILCGRE30BB&amp;strUserType=Live","Tilia cordata 'Greenspire'")</f>
        <v>Tilia cordata 'Greenspire'</v>
      </c>
      <c r="B586" s="32" t="s">
        <v>75</v>
      </c>
      <c r="C586" s="32"/>
      <c r="D586" s="33">
        <v>301</v>
      </c>
      <c r="E586" s="34"/>
      <c r="F586" s="35">
        <v>2</v>
      </c>
      <c r="G586" s="32">
        <v>0</v>
      </c>
      <c r="H586" s="37">
        <v>0</v>
      </c>
      <c r="I586" s="38">
        <f t="shared" si="19"/>
        <v>0</v>
      </c>
    </row>
    <row r="587" spans="1:9" ht="10.199999999999999" customHeight="1" x14ac:dyDescent="0.3">
      <c r="A587" s="32" t="str">
        <f>HYPERLINK("http://avail.sbinursery.com/LiveInventoryDetail.aspx?CustomerID=954&amp;intItemKey=1779&amp;ProductID=TILCORD15BB&amp;wWidth=700&amp;wHeight=510&amp;intHort=0&amp;imgProID=0&amp;strUserType=Live","Tilia cordata")</f>
        <v>Tilia cordata</v>
      </c>
      <c r="B587" s="32" t="s">
        <v>73</v>
      </c>
      <c r="C587" s="32"/>
      <c r="D587" s="33">
        <v>151</v>
      </c>
      <c r="E587" s="34"/>
      <c r="F587" s="35">
        <v>3</v>
      </c>
      <c r="G587" s="32">
        <v>0</v>
      </c>
      <c r="H587" s="37">
        <v>0</v>
      </c>
      <c r="I587" s="38">
        <f t="shared" si="19"/>
        <v>0</v>
      </c>
    </row>
    <row r="588" spans="1:9" ht="10.199999999999999" customHeight="1" x14ac:dyDescent="0.3">
      <c r="A588" s="32" t="str">
        <f>HYPERLINK("http://avail.sbinursery.com/LiveInventoryDetail.aspx?CustomerID=954&amp;intItemKey=1779&amp;ProductID=TILCORD17BB&amp;wWidth=700&amp;wHeight=510&amp;intHort=0&amp;imgProID=0&amp;strUserType=Live","Tilia cordata")</f>
        <v>Tilia cordata</v>
      </c>
      <c r="B588" s="32" t="s">
        <v>42</v>
      </c>
      <c r="C588" s="32"/>
      <c r="D588" s="33">
        <v>178</v>
      </c>
      <c r="E588" s="34"/>
      <c r="F588" s="35">
        <v>9</v>
      </c>
      <c r="G588" s="32">
        <v>0</v>
      </c>
      <c r="H588" s="37">
        <v>0</v>
      </c>
      <c r="I588" s="38">
        <f t="shared" si="19"/>
        <v>0</v>
      </c>
    </row>
    <row r="589" spans="1:9" ht="10.199999999999999" customHeight="1" x14ac:dyDescent="0.3">
      <c r="A589" s="32" t="str">
        <f>HYPERLINK("http://avail.sbinursery.com/LiveInventoryDetail.aspx?CustomerID=954&amp;intItemKey=1779&amp;ProductID=TILCORD20BB&amp;wWidth=700&amp;wHeight=510&amp;intHort=0&amp;imgProID=0&amp;strUserType=Live","Tilia cordata")</f>
        <v>Tilia cordata</v>
      </c>
      <c r="B589" s="32" t="s">
        <v>43</v>
      </c>
      <c r="C589" s="32"/>
      <c r="D589" s="33">
        <v>197</v>
      </c>
      <c r="E589" s="34"/>
      <c r="F589" s="35">
        <v>18</v>
      </c>
      <c r="G589" s="32">
        <v>0</v>
      </c>
      <c r="H589" s="37">
        <v>0</v>
      </c>
      <c r="I589" s="38">
        <f t="shared" si="19"/>
        <v>0</v>
      </c>
    </row>
    <row r="590" spans="1:9" ht="10.199999999999999" customHeight="1" x14ac:dyDescent="0.3">
      <c r="A590" s="32" t="str">
        <f>HYPERLINK("http://avail.sbinursery.com/LiveInventoryDetail.aspx?CustomerID=954&amp;intItemKey=1779&amp;ProductID=TILCORD25BB&amp;wWidth=700&amp;wHeight=510&amp;intHort=0&amp;imgProID=TILCORD25BB&amp;strUserType=Live","Tilia cordata")</f>
        <v>Tilia cordata</v>
      </c>
      <c r="B590" s="32" t="s">
        <v>44</v>
      </c>
      <c r="C590" s="32"/>
      <c r="D590" s="33">
        <v>257</v>
      </c>
      <c r="E590" s="34"/>
      <c r="F590" s="35">
        <v>1</v>
      </c>
      <c r="G590" s="32">
        <v>0</v>
      </c>
      <c r="H590" s="37">
        <v>0</v>
      </c>
      <c r="I590" s="38">
        <f t="shared" si="19"/>
        <v>0</v>
      </c>
    </row>
    <row r="591" spans="1:9" ht="10.199999999999999" customHeight="1" x14ac:dyDescent="0.3">
      <c r="A591" s="32" t="str">
        <f>HYPERLINK("http://avail.sbinursery.com/LiveInventoryDetail.aspx?CustomerID=954&amp;intItemKey=714&amp;ProductID=ULMAFOR20BB&amp;wWidth=700&amp;wHeight=510&amp;intHort=0&amp;imgProID=0&amp;strUserType=Live","Ulmus americana 'Valley Forge'")</f>
        <v>Ulmus americana 'Valley Forge'</v>
      </c>
      <c r="B591" s="32" t="s">
        <v>43</v>
      </c>
      <c r="C591" s="32"/>
      <c r="D591" s="33">
        <v>191</v>
      </c>
      <c r="E591" s="34"/>
      <c r="F591" s="35">
        <v>13</v>
      </c>
      <c r="G591" s="32">
        <v>0</v>
      </c>
      <c r="H591" s="37">
        <v>0</v>
      </c>
      <c r="I591" s="38">
        <f t="shared" si="19"/>
        <v>0</v>
      </c>
    </row>
    <row r="592" spans="1:9" ht="10.199999999999999" customHeight="1" x14ac:dyDescent="0.3">
      <c r="A592" s="32" t="str">
        <f>HYPERLINK("http://avail.sbinursery.com/LiveInventoryDetail.aspx?CustomerID=954&amp;intItemKey=713&amp;ProductID=ULMAPRI17BB&amp;wWidth=700&amp;wHeight=510&amp;intHort=0&amp;imgProID=ULMAPRI17BB&amp;strUserType=Live","Ulmus americana 'Princeton'")</f>
        <v>Ulmus americana 'Princeton'</v>
      </c>
      <c r="B592" s="32" t="s">
        <v>42</v>
      </c>
      <c r="C592" s="32"/>
      <c r="D592" s="33">
        <v>172</v>
      </c>
      <c r="E592" s="34"/>
      <c r="F592" s="35">
        <v>2</v>
      </c>
      <c r="G592" s="32">
        <v>0</v>
      </c>
      <c r="H592" s="37">
        <v>0</v>
      </c>
      <c r="I592" s="38">
        <f t="shared" si="19"/>
        <v>0</v>
      </c>
    </row>
    <row r="593" spans="1:9" ht="10.199999999999999" customHeight="1" x14ac:dyDescent="0.3">
      <c r="A593" s="32" t="str">
        <f>HYPERLINK("http://avail.sbinursery.com/LiveInventoryDetail.aspx?CustomerID=954&amp;intItemKey=713&amp;ProductID=ULMAPRI20BB&amp;wWidth=700&amp;wHeight=510&amp;intHort=0&amp;imgProID=ULMAPRI20BB&amp;strUserType=Live","Ulmus americana 'Princeton'")</f>
        <v>Ulmus americana 'Princeton'</v>
      </c>
      <c r="B593" s="32" t="s">
        <v>43</v>
      </c>
      <c r="C593" s="32"/>
      <c r="D593" s="33">
        <v>191</v>
      </c>
      <c r="E593" s="34"/>
      <c r="F593" s="35">
        <v>7</v>
      </c>
      <c r="G593" s="32">
        <v>0</v>
      </c>
      <c r="H593" s="37">
        <v>0</v>
      </c>
      <c r="I593" s="38">
        <f t="shared" si="19"/>
        <v>0</v>
      </c>
    </row>
    <row r="594" spans="1:9" ht="10.199999999999999" customHeight="1" x14ac:dyDescent="0.3">
      <c r="A594" s="32" t="str">
        <f>HYPERLINK("http://avail.sbinursery.com/LiveInventoryDetail.aspx?CustomerID=954&amp;intItemKey=713&amp;ProductID=ULMAPRI25BB&amp;wWidth=700&amp;wHeight=510&amp;intHort=0&amp;imgProID=ULMAPRI25BB&amp;strUserType=Live","Ulmus americana 'Princeton'")</f>
        <v>Ulmus americana 'Princeton'</v>
      </c>
      <c r="B594" s="32" t="s">
        <v>44</v>
      </c>
      <c r="C594" s="32"/>
      <c r="D594" s="33">
        <v>249</v>
      </c>
      <c r="E594" s="34"/>
      <c r="F594" s="35">
        <v>24</v>
      </c>
      <c r="G594" s="32">
        <v>0</v>
      </c>
      <c r="H594" s="37">
        <v>0</v>
      </c>
      <c r="I594" s="38">
        <f t="shared" si="19"/>
        <v>0</v>
      </c>
    </row>
    <row r="595" spans="1:9" ht="10.199999999999999" customHeight="1" x14ac:dyDescent="0.3">
      <c r="A595" s="32" t="str">
        <f>HYPERLINK("http://avail.sbinursery.com/LiveInventoryDetail.aspx?CustomerID=954&amp;intItemKey=713&amp;ProductID=ULMAPRI30BB&amp;wWidth=700&amp;wHeight=510&amp;intHort=0&amp;imgProID=ULMAPRI30BB&amp;strUserType=Live","Ulmus americana 'Princeton'")</f>
        <v>Ulmus americana 'Princeton'</v>
      </c>
      <c r="B595" s="32" t="s">
        <v>75</v>
      </c>
      <c r="C595" s="32"/>
      <c r="D595" s="33">
        <v>286</v>
      </c>
      <c r="E595" s="34"/>
      <c r="F595" s="35">
        <v>5</v>
      </c>
      <c r="G595" s="32">
        <v>0</v>
      </c>
      <c r="H595" s="37">
        <v>0</v>
      </c>
      <c r="I595" s="38">
        <f t="shared" si="19"/>
        <v>0</v>
      </c>
    </row>
    <row r="596" spans="1:9" ht="10.199999999999999" customHeight="1" x14ac:dyDescent="0.3">
      <c r="A596" s="32" t="str">
        <f>HYPERLINK("http://avail.sbinursery.com/LiveInventoryDetail.aspx?CustomerID=954&amp;intItemKey=713&amp;ProductID=ULMAPRI35BB&amp;wWidth=700&amp;wHeight=510&amp;intHort=0&amp;imgProID=ULMAPRI35BB&amp;strUserType=Live","Ulmus americana 'Princeton'")</f>
        <v>Ulmus americana 'Princeton'</v>
      </c>
      <c r="B596" s="32" t="s">
        <v>76</v>
      </c>
      <c r="C596" s="32"/>
      <c r="D596" s="33">
        <v>329</v>
      </c>
      <c r="E596" s="34"/>
      <c r="F596" s="35">
        <v>1</v>
      </c>
      <c r="G596" s="32">
        <v>0</v>
      </c>
      <c r="H596" s="37">
        <v>0</v>
      </c>
      <c r="I596" s="38">
        <f t="shared" si="19"/>
        <v>0</v>
      </c>
    </row>
    <row r="597" spans="1:9" ht="10.199999999999999" customHeight="1" x14ac:dyDescent="0.3">
      <c r="A597" s="32" t="str">
        <f>HYPERLINK("http://avail.sbinursery.com/LiveInventoryDetail.aspx?CustomerID=954&amp;intItemKey=713&amp;ProductID=ULMAPRI40BB&amp;wWidth=700&amp;wHeight=510&amp;intHort=0&amp;imgProID=ULMAPRI40BB&amp;strUserType=Live","Ulmus americana 'Princeton'")</f>
        <v>Ulmus americana 'Princeton'</v>
      </c>
      <c r="B597" s="32" t="s">
        <v>91</v>
      </c>
      <c r="C597" s="32"/>
      <c r="D597" s="33">
        <v>362</v>
      </c>
      <c r="E597" s="34"/>
      <c r="F597" s="35">
        <v>6</v>
      </c>
      <c r="G597" s="32">
        <v>0</v>
      </c>
      <c r="H597" s="37">
        <v>0</v>
      </c>
      <c r="I597" s="38">
        <f t="shared" si="19"/>
        <v>0</v>
      </c>
    </row>
    <row r="598" spans="1:9" ht="10.199999999999999" customHeight="1" x14ac:dyDescent="0.3">
      <c r="A598" s="32" t="str">
        <f>HYPERLINK("http://avail.sbinursery.com/LiveInventoryDetail.aspx?CustomerID=954&amp;intItemKey=713&amp;ProductID=ULMAPRI45BB&amp;wWidth=700&amp;wHeight=510&amp;intHort=0&amp;imgProID=ULMAPRI45BB&amp;strUserType=Live","Ulmus americana 'Princeton'")</f>
        <v>Ulmus americana 'Princeton'</v>
      </c>
      <c r="B598" s="32" t="s">
        <v>93</v>
      </c>
      <c r="C598" s="32"/>
      <c r="D598" s="33">
        <v>416</v>
      </c>
      <c r="E598" s="34"/>
      <c r="F598" s="35">
        <v>2</v>
      </c>
      <c r="G598" s="32">
        <v>0</v>
      </c>
      <c r="H598" s="37">
        <v>0</v>
      </c>
      <c r="I598" s="38">
        <f t="shared" si="19"/>
        <v>0</v>
      </c>
    </row>
    <row r="599" spans="1:9" ht="10.199999999999999" customHeight="1" x14ac:dyDescent="0.3">
      <c r="A599" s="32" t="str">
        <f>HYPERLINK("http://avail.sbinursery.com/LiveInventoryDetail.aspx?CustomerID=954&amp;intItemKey=718&amp;ProductID=ULMXACC15BB&amp;wWidth=700&amp;wHeight=510&amp;intHort=0&amp;imgProID=0&amp;strUserType=Live","Ulmus x Morton Accolade®")</f>
        <v>Ulmus x Morton Accolade®</v>
      </c>
      <c r="B599" s="32" t="s">
        <v>73</v>
      </c>
      <c r="C599" s="32"/>
      <c r="D599" s="33">
        <v>147</v>
      </c>
      <c r="E599" s="34"/>
      <c r="F599" s="35">
        <v>11</v>
      </c>
      <c r="G599" s="32">
        <v>0</v>
      </c>
      <c r="H599" s="37">
        <v>0</v>
      </c>
      <c r="I599" s="38">
        <f t="shared" si="19"/>
        <v>0</v>
      </c>
    </row>
    <row r="600" spans="1:9" ht="10.199999999999999" customHeight="1" x14ac:dyDescent="0.3">
      <c r="A600" s="32" t="str">
        <f>HYPERLINK("http://avail.sbinursery.com/LiveInventoryDetail.aspx?CustomerID=954&amp;intItemKey=718&amp;ProductID=ULMXACC17BB&amp;wWidth=700&amp;wHeight=510&amp;intHort=0&amp;imgProID=ULMXACC17BB&amp;strUserType=Live","Ulmus x Morton Accolade®")</f>
        <v>Ulmus x Morton Accolade®</v>
      </c>
      <c r="B600" s="32" t="s">
        <v>42</v>
      </c>
      <c r="C600" s="32"/>
      <c r="D600" s="33">
        <v>172</v>
      </c>
      <c r="E600" s="34"/>
      <c r="F600" s="35">
        <v>12</v>
      </c>
      <c r="G600" s="32">
        <v>0</v>
      </c>
      <c r="H600" s="37">
        <v>0</v>
      </c>
      <c r="I600" s="38">
        <f t="shared" si="19"/>
        <v>0</v>
      </c>
    </row>
    <row r="601" spans="1:9" ht="10.199999999999999" customHeight="1" x14ac:dyDescent="0.3">
      <c r="A601" s="32" t="str">
        <f>HYPERLINK("http://avail.sbinursery.com/LiveInventoryDetail.aspx?CustomerID=954&amp;intItemKey=718&amp;ProductID=ULMXACC20BB&amp;wWidth=700&amp;wHeight=510&amp;intHort=0&amp;imgProID=ULMXACC20BB&amp;strUserType=Live","Ulmus x Morton Accolade®")</f>
        <v>Ulmus x Morton Accolade®</v>
      </c>
      <c r="B601" s="32" t="s">
        <v>43</v>
      </c>
      <c r="C601" s="32"/>
      <c r="D601" s="33">
        <v>191</v>
      </c>
      <c r="E601" s="34"/>
      <c r="F601" s="35">
        <v>13</v>
      </c>
      <c r="G601" s="32">
        <v>0</v>
      </c>
      <c r="H601" s="37">
        <v>0</v>
      </c>
      <c r="I601" s="38">
        <f t="shared" si="19"/>
        <v>0</v>
      </c>
    </row>
    <row r="602" spans="1:9" ht="10.199999999999999" customHeight="1" x14ac:dyDescent="0.3">
      <c r="A602" s="32" t="str">
        <f>HYPERLINK("http://avail.sbinursery.com/LiveInventoryDetail.aspx?CustomerID=954&amp;intItemKey=718&amp;ProductID=ULMXACC25BB&amp;wWidth=700&amp;wHeight=510&amp;intHort=0&amp;imgProID=0&amp;strUserType=Live","Ulmus x Morton Accolade®")</f>
        <v>Ulmus x Morton Accolade®</v>
      </c>
      <c r="B602" s="32" t="s">
        <v>44</v>
      </c>
      <c r="C602" s="32"/>
      <c r="D602" s="33">
        <v>249</v>
      </c>
      <c r="E602" s="34"/>
      <c r="F602" s="35">
        <v>1</v>
      </c>
      <c r="G602" s="32">
        <v>0</v>
      </c>
      <c r="H602" s="37">
        <v>0</v>
      </c>
      <c r="I602" s="38">
        <f t="shared" si="19"/>
        <v>0</v>
      </c>
    </row>
    <row r="603" spans="1:9" ht="10.199999999999999" customHeight="1" x14ac:dyDescent="0.3">
      <c r="A603" s="32" t="str">
        <f>HYPERLINK("http://avail.sbinursery.com/LiveInventoryDetail.aspx?CustomerID=954&amp;intItemKey=723&amp;ProductID=ULMXFRO15BB&amp;wWidth=700&amp;wHeight=510&amp;intHort=0&amp;imgProID=0&amp;strUserType=Live","Ulmus x 'Frontier'")</f>
        <v>Ulmus x 'Frontier'</v>
      </c>
      <c r="B603" s="32" t="s">
        <v>73</v>
      </c>
      <c r="C603" s="32"/>
      <c r="D603" s="33">
        <v>147</v>
      </c>
      <c r="E603" s="34"/>
      <c r="F603" s="35">
        <v>9</v>
      </c>
      <c r="G603" s="32">
        <v>0</v>
      </c>
      <c r="H603" s="37">
        <v>0</v>
      </c>
      <c r="I603" s="38">
        <f t="shared" si="19"/>
        <v>0</v>
      </c>
    </row>
    <row r="604" spans="1:9" ht="10.199999999999999" customHeight="1" x14ac:dyDescent="0.3">
      <c r="A604" s="32" t="str">
        <f>HYPERLINK("http://avail.sbinursery.com/LiveInventoryDetail.aspx?CustomerID=954&amp;intItemKey=723&amp;ProductID=ULMXFRO17BB&amp;wWidth=700&amp;wHeight=510&amp;intHort=0&amp;imgProID=ULMXFRO17BB&amp;strUserType=Live","Ulmus x 'Frontier'")</f>
        <v>Ulmus x 'Frontier'</v>
      </c>
      <c r="B604" s="32" t="s">
        <v>42</v>
      </c>
      <c r="C604" s="32"/>
      <c r="D604" s="33">
        <v>172</v>
      </c>
      <c r="E604" s="34"/>
      <c r="F604" s="35">
        <v>5</v>
      </c>
      <c r="G604" s="32">
        <v>0</v>
      </c>
      <c r="H604" s="37">
        <v>0</v>
      </c>
      <c r="I604" s="38">
        <f t="shared" si="19"/>
        <v>0</v>
      </c>
    </row>
    <row r="605" spans="1:9" ht="10.199999999999999" customHeight="1" x14ac:dyDescent="0.3">
      <c r="A605" s="32" t="str">
        <f>HYPERLINK("http://avail.sbinursery.com/LiveInventoryDetail.aspx?CustomerID=954&amp;intItemKey=723&amp;ProductID=ULMXFRO25BB&amp;wWidth=700&amp;wHeight=510&amp;intHort=0&amp;imgProID=ULMXFRO25BB&amp;strUserType=Live","Ulmus x 'Frontier'")</f>
        <v>Ulmus x 'Frontier'</v>
      </c>
      <c r="B605" s="32" t="s">
        <v>44</v>
      </c>
      <c r="C605" s="32"/>
      <c r="D605" s="33">
        <v>249</v>
      </c>
      <c r="E605" s="34"/>
      <c r="F605" s="35">
        <v>7</v>
      </c>
      <c r="G605" s="32">
        <v>0</v>
      </c>
      <c r="H605" s="37">
        <v>0</v>
      </c>
      <c r="I605" s="38">
        <f t="shared" si="19"/>
        <v>0</v>
      </c>
    </row>
    <row r="606" spans="1:9" ht="10.199999999999999" customHeight="1" x14ac:dyDescent="0.3">
      <c r="A606" s="32" t="str">
        <f>HYPERLINK("http://avail.sbinursery.com/LiveInventoryDetail.aspx?CustomerID=954&amp;intItemKey=723&amp;ProductID=ULMXFRO30BB&amp;wWidth=700&amp;wHeight=510&amp;intHort=0&amp;imgProID=ULMXFRO30BB&amp;strUserType=Live","Ulmus x 'Frontier'")</f>
        <v>Ulmus x 'Frontier'</v>
      </c>
      <c r="B606" s="32" t="s">
        <v>75</v>
      </c>
      <c r="C606" s="32"/>
      <c r="D606" s="33">
        <v>286</v>
      </c>
      <c r="E606" s="34"/>
      <c r="F606" s="35">
        <v>2</v>
      </c>
      <c r="G606" s="32">
        <v>0</v>
      </c>
      <c r="H606" s="37">
        <v>0</v>
      </c>
      <c r="I606" s="38">
        <f t="shared" si="19"/>
        <v>0</v>
      </c>
    </row>
    <row r="607" spans="1:9" ht="10.199999999999999" customHeight="1" x14ac:dyDescent="0.3">
      <c r="A607" s="32" t="str">
        <f>HYPERLINK("http://avail.sbinursery.com/LiveInventoryDetail.aspx?CustomerID=954&amp;intItemKey=781&amp;ProductID=ZELSMUS35BB&amp;wWidth=700&amp;wHeight=510&amp;intHort=0&amp;imgProID=ZELSMUS35BB&amp;strUserType=Live","Zelkova serrata 'Musashino'")</f>
        <v>Zelkova serrata 'Musashino'</v>
      </c>
      <c r="B607" s="32" t="s">
        <v>76</v>
      </c>
      <c r="C607" s="32"/>
      <c r="D607" s="33">
        <v>339</v>
      </c>
      <c r="E607" s="34"/>
      <c r="F607" s="35">
        <v>5</v>
      </c>
      <c r="G607" s="32">
        <v>0</v>
      </c>
      <c r="H607" s="37">
        <v>0</v>
      </c>
      <c r="I607" s="38">
        <f t="shared" si="19"/>
        <v>0</v>
      </c>
    </row>
    <row r="608" spans="1:9" ht="10.199999999999999" customHeight="1" x14ac:dyDescent="0.3">
      <c r="A608" s="32" t="str">
        <f>HYPERLINK("http://avail.sbinursery.com/LiveInventoryDetail.aspx?CustomerID=954&amp;intItemKey=781&amp;ProductID=ZELSMUS40BB&amp;wWidth=700&amp;wHeight=510&amp;intHort=0&amp;imgProID=ZELSMUS40BB&amp;strUserType=Live","Zelkova serrata 'Musashino'")</f>
        <v>Zelkova serrata 'Musashino'</v>
      </c>
      <c r="B608" s="32" t="s">
        <v>91</v>
      </c>
      <c r="C608" s="32"/>
      <c r="D608" s="33">
        <v>373</v>
      </c>
      <c r="E608" s="34"/>
      <c r="F608" s="35">
        <v>4</v>
      </c>
      <c r="G608" s="32">
        <v>0</v>
      </c>
      <c r="H608" s="37">
        <v>0</v>
      </c>
      <c r="I608" s="38">
        <f t="shared" ref="I608:I613" si="20">PRODUCT(D608,H608)</f>
        <v>0</v>
      </c>
    </row>
    <row r="609" spans="1:9" ht="10.199999999999999" customHeight="1" x14ac:dyDescent="0.3">
      <c r="A609" s="32" t="str">
        <f>HYPERLINK("http://avail.sbinursery.com/LiveInventoryDetail.aspx?CustomerID=954&amp;intItemKey=783&amp;ProductID=ZELSWIR17BB&amp;wWidth=700&amp;wHeight=510&amp;intHort=0&amp;imgProID=ZELSWIR17BB&amp;strUserType=Live","Zelkova serrata 'Schmidtlow' Wireless®")</f>
        <v>Zelkova serrata 'Schmidtlow' Wireless®</v>
      </c>
      <c r="B609" s="32" t="s">
        <v>42</v>
      </c>
      <c r="C609" s="32"/>
      <c r="D609" s="33">
        <v>178</v>
      </c>
      <c r="E609" s="34"/>
      <c r="F609" s="35">
        <v>7</v>
      </c>
      <c r="G609" s="32">
        <v>0</v>
      </c>
      <c r="H609" s="37">
        <v>0</v>
      </c>
      <c r="I609" s="38">
        <f t="shared" si="20"/>
        <v>0</v>
      </c>
    </row>
    <row r="610" spans="1:9" ht="10.199999999999999" customHeight="1" x14ac:dyDescent="0.3">
      <c r="A610" s="32" t="str">
        <f>HYPERLINK("http://avail.sbinursery.com/LiveInventoryDetail.aspx?CustomerID=954&amp;intItemKey=783&amp;ProductID=ZELSWIR20BB&amp;wWidth=700&amp;wHeight=510&amp;intHort=0&amp;imgProID=ZELSWIR20BB&amp;strUserType=Live","Zelkova serrata 'Schmidtlow' Wireless®")</f>
        <v>Zelkova serrata 'Schmidtlow' Wireless®</v>
      </c>
      <c r="B610" s="32" t="s">
        <v>43</v>
      </c>
      <c r="C610" s="32"/>
      <c r="D610" s="33">
        <v>197</v>
      </c>
      <c r="E610" s="36"/>
      <c r="F610" s="32">
        <v>5</v>
      </c>
      <c r="G610" s="32">
        <v>0</v>
      </c>
      <c r="H610" s="37">
        <v>0</v>
      </c>
      <c r="I610" s="38">
        <f t="shared" si="20"/>
        <v>0</v>
      </c>
    </row>
    <row r="611" spans="1:9" ht="10.199999999999999" customHeight="1" x14ac:dyDescent="0.3">
      <c r="A611" s="32" t="str">
        <f>HYPERLINK("http://avail.sbinursery.com/LiveInventoryDetail.aspx?CustomerID=954&amp;intItemKey=783&amp;ProductID=ZELSWIR35BB&amp;wWidth=700&amp;wHeight=510&amp;intHort=0&amp;imgProID=ZELSWIR35BB&amp;strUserType=Live","Zelkova serrata 'Schmidtlow' Wireless®")</f>
        <v>Zelkova serrata 'Schmidtlow' Wireless®</v>
      </c>
      <c r="B611" s="32" t="s">
        <v>76</v>
      </c>
      <c r="C611" s="32"/>
      <c r="D611" s="33">
        <v>339</v>
      </c>
      <c r="E611" s="36"/>
      <c r="F611" s="32">
        <v>1</v>
      </c>
      <c r="G611" s="32">
        <v>0</v>
      </c>
      <c r="H611" s="37">
        <v>0</v>
      </c>
      <c r="I611" s="38">
        <f t="shared" si="20"/>
        <v>0</v>
      </c>
    </row>
    <row r="612" spans="1:9" ht="10.199999999999999" customHeight="1" x14ac:dyDescent="0.3">
      <c r="A612" s="32" t="str">
        <f>HYPERLINK("http://avail.sbinursery.com/LiveInventoryDetail.aspx?CustomerID=954&amp;intItemKey=783&amp;ProductID=ZELSWIR40BB&amp;wWidth=700&amp;wHeight=510&amp;intHort=0&amp;imgProID=0&amp;strUserType=Live","Zelkova serrata 'Schmidtlow' Wireless®")</f>
        <v>Zelkova serrata 'Schmidtlow' Wireless®</v>
      </c>
      <c r="B612" s="32" t="s">
        <v>91</v>
      </c>
      <c r="C612" s="32"/>
      <c r="D612" s="33">
        <v>373</v>
      </c>
      <c r="E612" s="36"/>
      <c r="F612" s="32">
        <v>3</v>
      </c>
      <c r="G612" s="32">
        <v>0</v>
      </c>
      <c r="H612" s="37">
        <v>0</v>
      </c>
      <c r="I612" s="38">
        <f t="shared" si="20"/>
        <v>0</v>
      </c>
    </row>
    <row r="613" spans="1:9" ht="10.199999999999999" customHeight="1" x14ac:dyDescent="0.3">
      <c r="A613" s="32" t="str">
        <f>HYPERLINK("http://avail.sbinursery.com/LiveInventoryDetail.aspx?CustomerID=954&amp;intItemKey=783&amp;ProductID=ZELSWIR45BB&amp;wWidth=700&amp;wHeight=510&amp;intHort=0&amp;imgProID=0&amp;strUserType=Live","Zelkova serrata 'Schmidtlow' Wireless®")</f>
        <v>Zelkova serrata 'Schmidtlow' Wireless®</v>
      </c>
      <c r="B613" s="32" t="s">
        <v>93</v>
      </c>
      <c r="C613" s="32"/>
      <c r="D613" s="33">
        <v>429</v>
      </c>
      <c r="E613" s="36"/>
      <c r="F613" s="32">
        <v>1</v>
      </c>
      <c r="G613" s="32">
        <v>0</v>
      </c>
      <c r="H613" s="37">
        <v>0</v>
      </c>
      <c r="I613" s="38">
        <f t="shared" si="20"/>
        <v>0</v>
      </c>
    </row>
  </sheetData>
  <autoFilter ref="A8:H613" xr:uid="{8897104D-49CB-491E-B164-736934C7D3B0}"/>
  <mergeCells count="2">
    <mergeCell ref="A2:H2"/>
    <mergeCell ref="A1:H1"/>
  </mergeCells>
  <conditionalFormatting sqref="C212:C215 E212:E215 G212:G215 C217 E217 G217 C222 E222 G222 C224 E224 G224 C305:C613 E305:E613 G305:G613 C226:C303 E226:E303 G226:G303 C219:C220 E219:E220 G219:G220 C203:C210 E203:E210 G203:G210 C171:C201 E171:E201 G171:G201 C120:C169 E120:E169 G120:G169 C11:C118 E11:E118 G11:G118">
    <cfRule type="cellIs" dxfId="0" priority="1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92" orientation="portrait" r:id="rId1"/>
  <headerFooter>
    <oddFooter>&amp;LEHR
800-214-2221
nursery@ehrnet.com | www.ehrnet.com&amp;C&amp;P of &amp;N&amp;RLake County Nsy
Avail
1.16.26</oddFooter>
  </headerFooter>
  <colBreaks count="1" manualBreakCount="1">
    <brk id="8" max="6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1.16.26</vt:lpstr>
      <vt:lpstr>'1.16.26'!Print_Area</vt:lpstr>
      <vt:lpstr>'1.16.26'!Print_Titles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Zampini</dc:creator>
  <cp:lastModifiedBy>KJ Dumford</cp:lastModifiedBy>
  <cp:lastPrinted>2026-01-16T20:03:53Z</cp:lastPrinted>
  <dcterms:created xsi:type="dcterms:W3CDTF">2025-12-14T23:49:56Z</dcterms:created>
  <dcterms:modified xsi:type="dcterms:W3CDTF">2026-01-16T20:05:12Z</dcterms:modified>
</cp:coreProperties>
</file>